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465" activeTab="1"/>
  </bookViews>
  <sheets>
    <sheet name="Оклады" sheetId="1" r:id="rId1"/>
    <sheet name="Офицеры" sheetId="2" r:id="rId2"/>
    <sheet name="М-ны, пр-ки и контрактники" sheetId="3" r:id="rId3"/>
    <sheet name="выслуга" sheetId="4" r:id="rId4"/>
  </sheets>
  <definedNames>
    <definedName name="_xlnm.Print_Area" localSheetId="3">'выслуга'!$A$1:$N$37</definedName>
    <definedName name="_xlnm.Print_Area" localSheetId="0">'Оклады'!$A$1:$M$36</definedName>
  </definedNames>
  <calcPr fullCalcOnLoad="1"/>
</workbook>
</file>

<file path=xl/sharedStrings.xml><?xml version="1.0" encoding="utf-8"?>
<sst xmlns="http://schemas.openxmlformats.org/spreadsheetml/2006/main" count="200" uniqueCount="139">
  <si>
    <t>Рядовой (матрос)</t>
  </si>
  <si>
    <t>Ефрейтор (ст.матрос)</t>
  </si>
  <si>
    <t>Мл.сержант (ст.2 статьи)</t>
  </si>
  <si>
    <t>Сержант (ст.1 статьи)</t>
  </si>
  <si>
    <t>Ст.сержант (гл.старшина)</t>
  </si>
  <si>
    <t>Старшина (гл.кор.старшина)</t>
  </si>
  <si>
    <t>Прапорщик (мичман)</t>
  </si>
  <si>
    <t>Ст.прапорщик (ст.мичман)</t>
  </si>
  <si>
    <t>Мл.лейтенант</t>
  </si>
  <si>
    <t>Лейтенант</t>
  </si>
  <si>
    <t>Ст.лейтенант</t>
  </si>
  <si>
    <t>Капитан (кап.-лейтенант)</t>
  </si>
  <si>
    <t>Майор (кап.3 ранга)</t>
  </si>
  <si>
    <t>Подполковник (кап.2 ранга)</t>
  </si>
  <si>
    <t>Полковник (кап.1 ранга)</t>
  </si>
  <si>
    <t>Генерал-майор (контр-адмирал)</t>
  </si>
  <si>
    <t>Генерал-лейтенант (вице-адмирал)</t>
  </si>
  <si>
    <t>Генерал-полковник (адмирал)</t>
  </si>
  <si>
    <t>Генерал армии (адмирал флота)</t>
  </si>
  <si>
    <t>Маршал РФ</t>
  </si>
  <si>
    <t>Минимальная пенсия</t>
  </si>
  <si>
    <t>Минимальный размер оплаты труда</t>
  </si>
  <si>
    <t>Стоимость прод. пайка</t>
  </si>
  <si>
    <t>Должностной оклад</t>
  </si>
  <si>
    <t>Оклад по воинскому званию</t>
  </si>
  <si>
    <t>Надбавка за работу с секретными сведениями</t>
  </si>
  <si>
    <t>Тарифный разряд</t>
  </si>
  <si>
    <t>Младший лейтенант</t>
  </si>
  <si>
    <t>Капитан</t>
  </si>
  <si>
    <t>Капитан-лейтенант</t>
  </si>
  <si>
    <t>Майор</t>
  </si>
  <si>
    <t>Капитан 3 ранга</t>
  </si>
  <si>
    <t>Подполковник</t>
  </si>
  <si>
    <t>Капитан 2 ранга</t>
  </si>
  <si>
    <t>Полковник</t>
  </si>
  <si>
    <t>Капитан 1 ранга</t>
  </si>
  <si>
    <t>Генерал-майор</t>
  </si>
  <si>
    <t>Контр-адмирал</t>
  </si>
  <si>
    <t>Генерал-лейтенант</t>
  </si>
  <si>
    <t>Вице-адмирал</t>
  </si>
  <si>
    <t>Генерал-полковник</t>
  </si>
  <si>
    <t>Адмирал</t>
  </si>
  <si>
    <t>Генерал армии</t>
  </si>
  <si>
    <t>Адмирал флота</t>
  </si>
  <si>
    <t>от 1 года до 2 лет</t>
  </si>
  <si>
    <t>от 2 лет до 5 лет</t>
  </si>
  <si>
    <t>от 5 лет до 10 лет</t>
  </si>
  <si>
    <t>от 10 лет до 15 лет</t>
  </si>
  <si>
    <t>от 15 лет до 20 лет</t>
  </si>
  <si>
    <t>25 лет и более</t>
  </si>
  <si>
    <t>Допкск 1-й формы</t>
  </si>
  <si>
    <t>Допуск 2-й формы</t>
  </si>
  <si>
    <t>Допуск 3-й формы</t>
  </si>
  <si>
    <t>Нет допуска</t>
  </si>
  <si>
    <t>менее 20 лет</t>
  </si>
  <si>
    <t>20 лет</t>
  </si>
  <si>
    <t>21 год</t>
  </si>
  <si>
    <t>22 года</t>
  </si>
  <si>
    <t>23 года</t>
  </si>
  <si>
    <t>24 года</t>
  </si>
  <si>
    <t>25 лет</t>
  </si>
  <si>
    <t>26 лет</t>
  </si>
  <si>
    <t>27 лет</t>
  </si>
  <si>
    <t>28 лет</t>
  </si>
  <si>
    <t xml:space="preserve">29 лет </t>
  </si>
  <si>
    <t>30 лет</t>
  </si>
  <si>
    <t>31 год</t>
  </si>
  <si>
    <t xml:space="preserve">        </t>
  </si>
  <si>
    <t>Единовременное денежное вознаграждение</t>
  </si>
  <si>
    <t>Материальная помощь</t>
  </si>
  <si>
    <t>Квартальная премия</t>
  </si>
  <si>
    <t>32 года и более</t>
  </si>
  <si>
    <t>Пенсия полная при выслуге</t>
  </si>
  <si>
    <t>составляет</t>
  </si>
  <si>
    <t>Процентная надбавка за выслугу</t>
  </si>
  <si>
    <t>Старший лейтенант</t>
  </si>
  <si>
    <t>Сам по себе</t>
  </si>
  <si>
    <t>+ один супруг</t>
  </si>
  <si>
    <t>+ супруг и спиногрыз</t>
  </si>
  <si>
    <t>+ супруг и 2 спиногрыза</t>
  </si>
  <si>
    <t>+ супруг и 3 спиногрыза</t>
  </si>
  <si>
    <t>+ супруг и 4 спиногрыза</t>
  </si>
  <si>
    <t xml:space="preserve">                              Санаторно-курортные</t>
  </si>
  <si>
    <t>Мл.сержант (ст2 статьи)</t>
  </si>
  <si>
    <t xml:space="preserve"> </t>
  </si>
  <si>
    <t>день</t>
  </si>
  <si>
    <t>месяц</t>
  </si>
  <si>
    <t>год</t>
  </si>
  <si>
    <t>Начал служить</t>
  </si>
  <si>
    <t>Сегодня</t>
  </si>
  <si>
    <t>Выслуга</t>
  </si>
  <si>
    <t xml:space="preserve">                          Санаторно-курортные</t>
  </si>
  <si>
    <t>Подоходный налог</t>
  </si>
  <si>
    <t>от 22 лет до 25 лет</t>
  </si>
  <si>
    <t>от 20 лет до 22 лет</t>
  </si>
  <si>
    <t>Средногодовой доход</t>
  </si>
  <si>
    <t>Среднемесячный доход</t>
  </si>
  <si>
    <t>Допуск 1-й формы</t>
  </si>
  <si>
    <t>Премия</t>
  </si>
  <si>
    <t>Итого к выдаче на руки с квартальной премией</t>
  </si>
  <si>
    <t>Генералы</t>
  </si>
  <si>
    <t>Офицеры</t>
  </si>
  <si>
    <t>Отходы</t>
  </si>
  <si>
    <t>Гавный штаб</t>
  </si>
  <si>
    <t>Генеральный штаб</t>
  </si>
  <si>
    <t>Министерство Обороны</t>
  </si>
  <si>
    <t>Воинское звание</t>
  </si>
  <si>
    <t>Оклад</t>
  </si>
  <si>
    <t>генерал армии</t>
  </si>
  <si>
    <t>генерал-лейтенант</t>
  </si>
  <si>
    <t>генерал-майор</t>
  </si>
  <si>
    <t>генерал-полковник</t>
  </si>
  <si>
    <t>ефрейтор</t>
  </si>
  <si>
    <t>капитан</t>
  </si>
  <si>
    <t>лейтенант</t>
  </si>
  <si>
    <t>майор</t>
  </si>
  <si>
    <t>Маршал Российской Федерации</t>
  </si>
  <si>
    <t>младший лейтенант</t>
  </si>
  <si>
    <t>младший сержант</t>
  </si>
  <si>
    <t>подполковник</t>
  </si>
  <si>
    <t>полковник</t>
  </si>
  <si>
    <t>прапорщик</t>
  </si>
  <si>
    <t>рядовой</t>
  </si>
  <si>
    <t>сержант</t>
  </si>
  <si>
    <t>старший лейтенант</t>
  </si>
  <si>
    <t>старший прапорщик</t>
  </si>
  <si>
    <t>старший сержант</t>
  </si>
  <si>
    <t>старшина</t>
  </si>
  <si>
    <t>,</t>
  </si>
  <si>
    <t>I</t>
  </si>
  <si>
    <t>II</t>
  </si>
  <si>
    <t>III</t>
  </si>
  <si>
    <t>IV</t>
  </si>
  <si>
    <t>IX</t>
  </si>
  <si>
    <t>V</t>
  </si>
  <si>
    <t>VI</t>
  </si>
  <si>
    <t>VII</t>
  </si>
  <si>
    <t>VIII</t>
  </si>
  <si>
    <t>Надбавка за классность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</si>
</sst>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.00\ &quot;р.&quot;;\-#,##0.00\ &quot;р.&quot;"/>
    <numFmt numFmtId="166" formatCode="d/m/yy"/>
    <numFmt numFmtId="167" formatCode="0.0"/>
  </numFmts>
  <fonts count="69">
    <font>
      <sz val="10"/>
      <name val="Arial Cyr"/>
      <family val="0"/>
    </font>
    <font>
      <sz val="11"/>
      <color indexed="8"/>
      <name val="Times New Roman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color indexed="16"/>
      <name val="Arial Cyr"/>
      <family val="2"/>
    </font>
    <font>
      <b/>
      <i/>
      <sz val="11"/>
      <color indexed="16"/>
      <name val="Arial Cyr"/>
      <family val="2"/>
    </font>
    <font>
      <i/>
      <sz val="11"/>
      <color indexed="16"/>
      <name val="Arial Cyr"/>
      <family val="2"/>
    </font>
    <font>
      <sz val="8"/>
      <name val="Tahoma"/>
      <family val="2"/>
    </font>
    <font>
      <i/>
      <sz val="8"/>
      <name val="Arial Cyr"/>
      <family val="2"/>
    </font>
    <font>
      <b/>
      <sz val="12"/>
      <color indexed="12"/>
      <name val="Arial Cyr"/>
      <family val="2"/>
    </font>
    <font>
      <b/>
      <i/>
      <sz val="36"/>
      <color indexed="12"/>
      <name val="Haettenschweiler"/>
      <family val="2"/>
    </font>
    <font>
      <b/>
      <sz val="28"/>
      <color indexed="10"/>
      <name val="Book Antiqua"/>
      <family val="1"/>
    </font>
    <font>
      <b/>
      <sz val="12"/>
      <color indexed="10"/>
      <name val="Arial Cyr"/>
      <family val="2"/>
    </font>
    <font>
      <sz val="28"/>
      <color indexed="13"/>
      <name val="Haettenschweiler"/>
      <family val="2"/>
    </font>
    <font>
      <sz val="10"/>
      <color indexed="17"/>
      <name val="Arial Cyr"/>
      <family val="2"/>
    </font>
    <font>
      <b/>
      <sz val="14"/>
      <color indexed="13"/>
      <name val="Arial Cyr"/>
      <family val="2"/>
    </font>
    <font>
      <b/>
      <sz val="14"/>
      <color indexed="13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Times New Roman Cyr"/>
      <family val="1"/>
    </font>
    <font>
      <sz val="10"/>
      <color indexed="8"/>
      <name val="Arial Cyr"/>
      <family val="0"/>
    </font>
    <font>
      <b/>
      <sz val="14"/>
      <color indexed="10"/>
      <name val="Times New Roman Cyr"/>
      <family val="1"/>
    </font>
    <font>
      <sz val="16"/>
      <color indexed="20"/>
      <name val="Arial Cyr"/>
      <family val="2"/>
    </font>
    <font>
      <sz val="14"/>
      <color indexed="20"/>
      <name val="Arial Cyr"/>
      <family val="2"/>
    </font>
    <font>
      <b/>
      <sz val="12"/>
      <color indexed="8"/>
      <name val="Arial Cyr"/>
      <family val="2"/>
    </font>
    <font>
      <sz val="10"/>
      <color indexed="22"/>
      <name val="Arial Cyr"/>
      <family val="2"/>
    </font>
    <font>
      <sz val="16"/>
      <color indexed="17"/>
      <name val="Arial Cyr"/>
      <family val="2"/>
    </font>
    <font>
      <sz val="14"/>
      <color indexed="17"/>
      <name val="Arial Cyr"/>
      <family val="2"/>
    </font>
    <font>
      <sz val="16"/>
      <color indexed="18"/>
      <name val="Arial Cyr"/>
      <family val="2"/>
    </font>
    <font>
      <sz val="14"/>
      <color indexed="18"/>
      <name val="Arial Cyr"/>
      <family val="2"/>
    </font>
    <font>
      <sz val="16"/>
      <color indexed="10"/>
      <name val="Arial Cyr"/>
      <family val="2"/>
    </font>
    <font>
      <sz val="16"/>
      <color indexed="21"/>
      <name val="Arial Cyr"/>
      <family val="2"/>
    </font>
    <font>
      <sz val="10"/>
      <color indexed="55"/>
      <name val="Arial Cyr"/>
      <family val="2"/>
    </font>
    <font>
      <b/>
      <sz val="26"/>
      <color indexed="10"/>
      <name val="Arial"/>
      <family val="2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b/>
      <sz val="12"/>
      <name val="Arial Cyr"/>
      <family val="2"/>
    </font>
    <font>
      <b/>
      <i/>
      <sz val="36"/>
      <name val="Haettenschweiler"/>
      <family val="2"/>
    </font>
    <font>
      <sz val="28"/>
      <name val="Haettenschweiler"/>
      <family val="2"/>
    </font>
    <font>
      <b/>
      <sz val="28"/>
      <name val="Book Antiqua"/>
      <family val="1"/>
    </font>
    <font>
      <b/>
      <sz val="12"/>
      <color indexed="17"/>
      <name val="Arial Cyr"/>
      <family val="2"/>
    </font>
    <font>
      <b/>
      <i/>
      <sz val="12"/>
      <color indexed="10"/>
      <name val="Arial Cyr"/>
      <family val="2"/>
    </font>
    <font>
      <b/>
      <i/>
      <sz val="14"/>
      <color indexed="10"/>
      <name val="Old English Text MT"/>
      <family val="4"/>
    </font>
    <font>
      <b/>
      <sz val="14"/>
      <color indexed="10"/>
      <name val="Arial Cyr"/>
      <family val="2"/>
    </font>
    <font>
      <b/>
      <sz val="18"/>
      <color indexed="13"/>
      <name val="Arial"/>
      <family val="2"/>
    </font>
    <font>
      <b/>
      <sz val="12"/>
      <color indexed="9"/>
      <name val="Arial Cyr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7"/>
      <color indexed="12"/>
      <name val="Arial Cyr"/>
      <family val="0"/>
    </font>
    <font>
      <b/>
      <sz val="11"/>
      <color indexed="13"/>
      <name val="Times New Roman"/>
      <family val="0"/>
    </font>
    <font>
      <b/>
      <sz val="12"/>
      <color indexed="13"/>
      <name val="Arial Cyr"/>
      <family val="0"/>
    </font>
    <font>
      <b/>
      <sz val="12"/>
      <color indexed="20"/>
      <name val="Arial Cyr"/>
      <family val="0"/>
    </font>
    <font>
      <b/>
      <sz val="11"/>
      <color indexed="10"/>
      <name val="Arial Cyr"/>
      <family val="2"/>
    </font>
    <font>
      <sz val="9"/>
      <name val="Arial Cyr"/>
      <family val="0"/>
    </font>
    <font>
      <sz val="11"/>
      <color indexed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>
        <color indexed="17"/>
      </right>
      <top style="double"/>
      <bottom style="hair">
        <color indexed="17"/>
      </bottom>
    </border>
    <border>
      <left style="double"/>
      <right style="thin">
        <color indexed="17"/>
      </right>
      <top style="hair">
        <color indexed="17"/>
      </top>
      <bottom style="double"/>
    </border>
    <border>
      <left/>
      <right style="double"/>
      <top style="double"/>
      <bottom style="hair">
        <color indexed="17"/>
      </bottom>
    </border>
    <border>
      <left/>
      <right style="double"/>
      <top style="hair">
        <color indexed="17"/>
      </top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 style="double"/>
      <top/>
      <bottom style="medium">
        <color indexed="17"/>
      </bottom>
    </border>
    <border>
      <left/>
      <right style="double"/>
      <top/>
      <bottom/>
    </border>
    <border>
      <left/>
      <right style="double"/>
      <top style="medium">
        <color indexed="17"/>
      </top>
      <bottom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>
        <color indexed="17"/>
      </right>
      <top style="hair">
        <color indexed="17"/>
      </top>
      <bottom style="hair">
        <color indexed="17"/>
      </bottom>
    </border>
    <border>
      <left/>
      <right style="double"/>
      <top style="hair">
        <color indexed="17"/>
      </top>
      <bottom style="hair">
        <color indexed="17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 style="hair">
        <color indexed="17"/>
      </top>
      <bottom style="hair">
        <color indexed="17"/>
      </bottom>
    </border>
    <border>
      <left/>
      <right/>
      <top style="hair">
        <color indexed="17"/>
      </top>
      <bottom style="double"/>
    </border>
    <border>
      <left/>
      <right/>
      <top style="double"/>
      <bottom style="hair">
        <color indexed="17"/>
      </bottom>
    </border>
    <border>
      <left style="double"/>
      <right/>
      <top style="hair">
        <color indexed="17"/>
      </top>
      <bottom style="hair">
        <color indexed="17"/>
      </bottom>
    </border>
    <border>
      <left/>
      <right style="thin">
        <color indexed="17"/>
      </right>
      <top style="hair">
        <color indexed="17"/>
      </top>
      <bottom style="hair">
        <color indexed="17"/>
      </bottom>
    </border>
    <border>
      <left style="double"/>
      <right/>
      <top style="hair">
        <color indexed="17"/>
      </top>
      <bottom style="double"/>
    </border>
    <border>
      <left/>
      <right style="thin">
        <color indexed="17"/>
      </right>
      <top style="hair">
        <color indexed="17"/>
      </top>
      <bottom style="double"/>
    </border>
    <border>
      <left style="double"/>
      <right style="hair">
        <color indexed="17"/>
      </right>
      <top style="double"/>
      <bottom/>
    </border>
    <border>
      <left style="double"/>
      <right/>
      <top/>
      <bottom/>
    </border>
    <border>
      <left style="double"/>
      <right style="hair">
        <color indexed="17"/>
      </right>
      <top/>
      <bottom style="medium">
        <color indexed="17"/>
      </bottom>
    </border>
    <border>
      <left style="double"/>
      <right style="hair">
        <color indexed="17"/>
      </right>
      <top/>
      <bottom/>
    </border>
    <border>
      <left style="double"/>
      <right style="hair">
        <color indexed="17"/>
      </right>
      <top style="medium">
        <color indexed="17"/>
      </top>
      <bottom/>
    </border>
    <border>
      <left style="double"/>
      <right style="hair">
        <color indexed="17"/>
      </right>
      <top/>
      <bottom style="double"/>
    </border>
    <border>
      <left style="double"/>
      <right/>
      <top style="double"/>
      <bottom style="hair">
        <color indexed="17"/>
      </bottom>
    </border>
    <border>
      <left/>
      <right style="thin">
        <color indexed="17"/>
      </right>
      <top style="double"/>
      <bottom style="hair">
        <color indexed="17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double"/>
      <right/>
      <top/>
      <bottom style="double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 style="double"/>
    </border>
    <border>
      <left/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medium"/>
      <bottom/>
    </border>
    <border>
      <left>
        <color indexed="63"/>
      </left>
      <right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9" fillId="2" borderId="0">
      <alignment horizontal="center" vertical="top"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/>
      <protection/>
    </xf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7" fillId="8" borderId="1" applyNumberFormat="0" applyAlignment="0" applyProtection="0"/>
    <xf numFmtId="0" fontId="48" fillId="21" borderId="2" applyNumberFormat="0" applyAlignment="0" applyProtection="0"/>
    <xf numFmtId="0" fontId="49" fillId="21" borderId="1" applyNumberFormat="0" applyAlignment="0" applyProtection="0"/>
    <xf numFmtId="166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>
      <alignment horizontal="centerContinuous"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2" borderId="7" applyNumberForma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1" fontId="0" fillId="0" borderId="0">
      <alignment/>
      <protection/>
    </xf>
    <xf numFmtId="0" fontId="57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164" fontId="21" fillId="21" borderId="9" applyFont="0" applyFill="0" applyBorder="0" applyProtection="0">
      <alignment horizontal="right"/>
    </xf>
    <xf numFmtId="0" fontId="59" fillId="0" borderId="10" applyNumberFormat="0" applyFill="0" applyAlignment="0" applyProtection="0"/>
    <xf numFmtId="2" fontId="20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" borderId="0" applyNumberFormat="0" applyBorder="0" applyAlignment="0" applyProtection="0"/>
  </cellStyleXfs>
  <cellXfs count="282">
    <xf numFmtId="0" fontId="0" fillId="0" borderId="0" xfId="0" applyAlignment="1">
      <alignment/>
    </xf>
    <xf numFmtId="43" fontId="0" fillId="0" borderId="0" xfId="0" applyNumberFormat="1" applyAlignment="1">
      <alignment horizontal="right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43" fontId="6" fillId="25" borderId="13" xfId="0" applyNumberFormat="1" applyFont="1" applyFill="1" applyBorder="1" applyAlignment="1">
      <alignment horizontal="right" vertical="center"/>
    </xf>
    <xf numFmtId="43" fontId="6" fillId="25" borderId="14" xfId="0" applyNumberFormat="1" applyFont="1" applyFill="1" applyBorder="1" applyAlignment="1">
      <alignment horizontal="right" vertical="center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7" fillId="9" borderId="17" xfId="0" applyFont="1" applyFill="1" applyBorder="1" applyAlignment="1">
      <alignment/>
    </xf>
    <xf numFmtId="0" fontId="7" fillId="9" borderId="18" xfId="0" applyFont="1" applyFill="1" applyBorder="1" applyAlignment="1">
      <alignment/>
    </xf>
    <xf numFmtId="0" fontId="7" fillId="9" borderId="19" xfId="0" applyFont="1" applyFill="1" applyBorder="1" applyAlignment="1">
      <alignment/>
    </xf>
    <xf numFmtId="44" fontId="6" fillId="12" borderId="20" xfId="0" applyNumberFormat="1" applyFont="1" applyFill="1" applyBorder="1" applyAlignment="1">
      <alignment vertical="center"/>
    </xf>
    <xf numFmtId="0" fontId="0" fillId="19" borderId="0" xfId="0" applyFill="1" applyAlignment="1">
      <alignment/>
    </xf>
    <xf numFmtId="43" fontId="0" fillId="19" borderId="0" xfId="0" applyNumberFormat="1" applyFill="1" applyAlignment="1">
      <alignment horizontal="right" vertical="center"/>
    </xf>
    <xf numFmtId="0" fontId="0" fillId="19" borderId="0" xfId="0" applyFill="1" applyBorder="1" applyAlignment="1">
      <alignment/>
    </xf>
    <xf numFmtId="43" fontId="0" fillId="19" borderId="0" xfId="0" applyNumberFormat="1" applyFill="1" applyBorder="1" applyAlignment="1">
      <alignment horizontal="right" vertical="center"/>
    </xf>
    <xf numFmtId="44" fontId="0" fillId="19" borderId="0" xfId="0" applyNumberFormat="1" applyFill="1" applyBorder="1" applyAlignment="1">
      <alignment horizontal="right" vertical="center"/>
    </xf>
    <xf numFmtId="44" fontId="12" fillId="19" borderId="0" xfId="0" applyNumberFormat="1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44" fontId="0" fillId="19" borderId="25" xfId="0" applyNumberFormat="1" applyFill="1" applyBorder="1" applyAlignment="1">
      <alignment/>
    </xf>
    <xf numFmtId="0" fontId="0" fillId="25" borderId="0" xfId="0" applyFill="1" applyAlignment="1">
      <alignment/>
    </xf>
    <xf numFmtId="44" fontId="11" fillId="25" borderId="0" xfId="0" applyNumberFormat="1" applyFont="1" applyFill="1" applyAlignment="1">
      <alignment vertical="center"/>
    </xf>
    <xf numFmtId="44" fontId="14" fillId="25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5" borderId="23" xfId="0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49" fontId="0" fillId="19" borderId="0" xfId="0" applyNumberFormat="1" applyFill="1" applyAlignment="1">
      <alignment horizontal="left"/>
    </xf>
    <xf numFmtId="44" fontId="12" fillId="25" borderId="0" xfId="0" applyNumberFormat="1" applyFont="1" applyFill="1" applyAlignment="1">
      <alignment horizontal="center" vertical="center"/>
    </xf>
    <xf numFmtId="1" fontId="0" fillId="21" borderId="0" xfId="56" applyFill="1">
      <alignment/>
      <protection/>
    </xf>
    <xf numFmtId="1" fontId="22" fillId="21" borderId="0" xfId="56" applyFont="1" applyFill="1" applyAlignment="1">
      <alignment horizontal="centerContinuous"/>
      <protection/>
    </xf>
    <xf numFmtId="1" fontId="0" fillId="21" borderId="0" xfId="56" applyFill="1" applyAlignment="1">
      <alignment horizontal="centerContinuous"/>
      <protection/>
    </xf>
    <xf numFmtId="1" fontId="0" fillId="21" borderId="0" xfId="56" applyFill="1" applyBorder="1">
      <alignment/>
      <protection/>
    </xf>
    <xf numFmtId="1" fontId="0" fillId="0" borderId="0" xfId="56">
      <alignment/>
      <protection/>
    </xf>
    <xf numFmtId="1" fontId="20" fillId="5" borderId="26" xfId="56" applyFont="1" applyFill="1" applyBorder="1">
      <alignment/>
      <protection/>
    </xf>
    <xf numFmtId="1" fontId="24" fillId="5" borderId="27" xfId="56" applyFont="1" applyFill="1" applyBorder="1" applyAlignment="1">
      <alignment horizontal="center"/>
      <protection/>
    </xf>
    <xf numFmtId="1" fontId="24" fillId="5" borderId="28" xfId="56" applyFont="1" applyFill="1" applyBorder="1" applyAlignment="1">
      <alignment horizontal="center"/>
      <protection/>
    </xf>
    <xf numFmtId="1" fontId="24" fillId="6" borderId="27" xfId="56" applyFont="1" applyFill="1" applyBorder="1" applyAlignment="1">
      <alignment horizontal="center"/>
      <protection/>
    </xf>
    <xf numFmtId="1" fontId="24" fillId="6" borderId="28" xfId="56" applyFont="1" applyFill="1" applyBorder="1" applyAlignment="1">
      <alignment horizontal="center"/>
      <protection/>
    </xf>
    <xf numFmtId="1" fontId="25" fillId="21" borderId="0" xfId="56" applyFont="1" applyFill="1">
      <alignment/>
      <protection/>
    </xf>
    <xf numFmtId="1" fontId="26" fillId="5" borderId="29" xfId="56" applyFont="1" applyFill="1" applyBorder="1" applyAlignment="1" quotePrefix="1">
      <alignment horizontal="left"/>
      <protection/>
    </xf>
    <xf numFmtId="1" fontId="27" fillId="5" borderId="25" xfId="56" applyFont="1" applyFill="1" applyBorder="1" applyAlignment="1">
      <alignment horizontal="left"/>
      <protection/>
    </xf>
    <xf numFmtId="1" fontId="27" fillId="5" borderId="30" xfId="56" applyFont="1" applyFill="1" applyBorder="1" applyAlignment="1">
      <alignment horizontal="left"/>
      <protection/>
    </xf>
    <xf numFmtId="1" fontId="25" fillId="21" borderId="0" xfId="56" applyFont="1" applyFill="1" applyAlignment="1">
      <alignment horizontal="center"/>
      <protection/>
    </xf>
    <xf numFmtId="1" fontId="27" fillId="6" borderId="25" xfId="56" applyFont="1" applyFill="1" applyBorder="1" applyAlignment="1">
      <alignment horizontal="left"/>
      <protection/>
    </xf>
    <xf numFmtId="1" fontId="27" fillId="6" borderId="30" xfId="56" applyFont="1" applyFill="1" applyBorder="1" applyAlignment="1">
      <alignment horizontal="left"/>
      <protection/>
    </xf>
    <xf numFmtId="1" fontId="28" fillId="5" borderId="29" xfId="56" applyFont="1" applyFill="1" applyBorder="1">
      <alignment/>
      <protection/>
    </xf>
    <xf numFmtId="1" fontId="29" fillId="5" borderId="25" xfId="56" applyFont="1" applyFill="1" applyBorder="1" applyAlignment="1">
      <alignment horizontal="left"/>
      <protection/>
    </xf>
    <xf numFmtId="1" fontId="29" fillId="5" borderId="30" xfId="56" applyFont="1" applyFill="1" applyBorder="1" applyAlignment="1">
      <alignment horizontal="left"/>
      <protection/>
    </xf>
    <xf numFmtId="1" fontId="29" fillId="6" borderId="25" xfId="56" applyFont="1" applyFill="1" applyBorder="1" applyAlignment="1">
      <alignment horizontal="left"/>
      <protection/>
    </xf>
    <xf numFmtId="1" fontId="29" fillId="6" borderId="30" xfId="56" applyFont="1" applyFill="1" applyBorder="1" applyAlignment="1">
      <alignment horizontal="left"/>
      <protection/>
    </xf>
    <xf numFmtId="1" fontId="30" fillId="5" borderId="31" xfId="56" applyFont="1" applyFill="1" applyBorder="1">
      <alignment/>
      <protection/>
    </xf>
    <xf numFmtId="1" fontId="0" fillId="21" borderId="0" xfId="56" applyFill="1" applyAlignment="1">
      <alignment horizontal="center"/>
      <protection/>
    </xf>
    <xf numFmtId="1" fontId="31" fillId="21" borderId="0" xfId="56" applyFont="1" applyFill="1" applyAlignment="1">
      <alignment horizontal="centerContinuous"/>
      <protection/>
    </xf>
    <xf numFmtId="1" fontId="26" fillId="26" borderId="29" xfId="56" applyFont="1" applyFill="1" applyBorder="1" applyAlignment="1" quotePrefix="1">
      <alignment horizontal="left"/>
      <protection/>
    </xf>
    <xf numFmtId="1" fontId="27" fillId="26" borderId="25" xfId="56" applyFont="1" applyFill="1" applyBorder="1" applyAlignment="1">
      <alignment horizontal="left"/>
      <protection/>
    </xf>
    <xf numFmtId="1" fontId="27" fillId="26" borderId="30" xfId="56" applyFont="1" applyFill="1" applyBorder="1" applyAlignment="1">
      <alignment horizontal="left"/>
      <protection/>
    </xf>
    <xf numFmtId="1" fontId="27" fillId="21" borderId="0" xfId="56" applyFont="1" applyFill="1" applyBorder="1" applyAlignment="1">
      <alignment horizontal="left"/>
      <protection/>
    </xf>
    <xf numFmtId="1" fontId="28" fillId="26" borderId="29" xfId="56" applyFont="1" applyFill="1" applyBorder="1">
      <alignment/>
      <protection/>
    </xf>
    <xf numFmtId="1" fontId="29" fillId="26" borderId="25" xfId="56" applyFont="1" applyFill="1" applyBorder="1" applyAlignment="1">
      <alignment horizontal="left"/>
      <protection/>
    </xf>
    <xf numFmtId="1" fontId="29" fillId="26" borderId="30" xfId="56" applyFont="1" applyFill="1" applyBorder="1" applyAlignment="1">
      <alignment horizontal="left"/>
      <protection/>
    </xf>
    <xf numFmtId="1" fontId="29" fillId="21" borderId="0" xfId="56" applyFont="1" applyFill="1" applyBorder="1" applyAlignment="1">
      <alignment horizontal="left"/>
      <protection/>
    </xf>
    <xf numFmtId="1" fontId="30" fillId="26" borderId="31" xfId="56" applyFont="1" applyFill="1" applyBorder="1">
      <alignment/>
      <protection/>
    </xf>
    <xf numFmtId="1" fontId="30" fillId="21" borderId="0" xfId="56" applyFont="1" applyFill="1" applyBorder="1" applyAlignment="1">
      <alignment horizontal="center"/>
      <protection/>
    </xf>
    <xf numFmtId="1" fontId="32" fillId="21" borderId="0" xfId="56" applyFont="1" applyFill="1">
      <alignment/>
      <protection/>
    </xf>
    <xf numFmtId="1" fontId="34" fillId="21" borderId="0" xfId="56" applyFont="1" applyFill="1" applyAlignment="1">
      <alignment horizontal="center"/>
      <protection/>
    </xf>
    <xf numFmtId="1" fontId="35" fillId="5" borderId="32" xfId="56" applyFont="1" applyFill="1" applyBorder="1" applyAlignment="1">
      <alignment horizontal="left"/>
      <protection/>
    </xf>
    <xf numFmtId="1" fontId="35" fillId="27" borderId="33" xfId="56" applyFont="1" applyFill="1" applyBorder="1" applyAlignment="1">
      <alignment horizontal="left"/>
      <protection/>
    </xf>
    <xf numFmtId="1" fontId="35" fillId="6" borderId="32" xfId="56" applyFont="1" applyFill="1" applyBorder="1" applyAlignment="1">
      <alignment horizontal="left"/>
      <protection/>
    </xf>
    <xf numFmtId="1" fontId="35" fillId="26" borderId="32" xfId="56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5" borderId="21" xfId="0" applyFont="1" applyFill="1" applyBorder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49" fontId="0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19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0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3" borderId="0" xfId="0" applyFont="1" applyFill="1" applyAlignment="1">
      <alignment/>
    </xf>
    <xf numFmtId="44" fontId="37" fillId="23" borderId="0" xfId="0" applyNumberFormat="1" applyFont="1" applyFill="1" applyAlignment="1">
      <alignment vertical="center"/>
    </xf>
    <xf numFmtId="0" fontId="0" fillId="19" borderId="0" xfId="0" applyFont="1" applyFill="1" applyAlignment="1">
      <alignment/>
    </xf>
    <xf numFmtId="49" fontId="0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4" fontId="38" fillId="23" borderId="0" xfId="0" applyNumberFormat="1" applyFont="1" applyFill="1" applyAlignment="1">
      <alignment horizontal="center" vertical="center"/>
    </xf>
    <xf numFmtId="0" fontId="0" fillId="23" borderId="0" xfId="0" applyFont="1" applyFill="1" applyAlignment="1">
      <alignment/>
    </xf>
    <xf numFmtId="44" fontId="0" fillId="19" borderId="25" xfId="0" applyNumberFormat="1" applyFont="1" applyFill="1" applyBorder="1" applyAlignment="1">
      <alignment/>
    </xf>
    <xf numFmtId="0" fontId="0" fillId="23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3" borderId="0" xfId="0" applyFont="1" applyFill="1" applyAlignment="1">
      <alignment/>
    </xf>
    <xf numFmtId="44" fontId="39" fillId="23" borderId="0" xfId="0" applyNumberFormat="1" applyFont="1" applyFill="1" applyAlignment="1">
      <alignment horizontal="center" vertical="center"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44" fontId="39" fillId="19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40" fillId="5" borderId="23" xfId="0" applyFont="1" applyFill="1" applyBorder="1" applyAlignment="1">
      <alignment horizontal="right"/>
    </xf>
    <xf numFmtId="0" fontId="15" fillId="5" borderId="23" xfId="0" applyFont="1" applyFill="1" applyBorder="1" applyAlignment="1">
      <alignment/>
    </xf>
    <xf numFmtId="0" fontId="15" fillId="5" borderId="24" xfId="0" applyFont="1" applyFill="1" applyBorder="1" applyAlignment="1">
      <alignment/>
    </xf>
    <xf numFmtId="0" fontId="10" fillId="5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19" borderId="0" xfId="0" applyFont="1" applyFill="1" applyBorder="1" applyAlignment="1">
      <alignment/>
    </xf>
    <xf numFmtId="44" fontId="0" fillId="19" borderId="0" xfId="0" applyNumberFormat="1" applyFont="1" applyFill="1" applyAlignment="1">
      <alignment/>
    </xf>
    <xf numFmtId="9" fontId="0" fillId="19" borderId="0" xfId="0" applyNumberFormat="1" applyFont="1" applyFill="1" applyAlignment="1">
      <alignment/>
    </xf>
    <xf numFmtId="44" fontId="0" fillId="19" borderId="0" xfId="0" applyNumberFormat="1" applyFont="1" applyFill="1" applyAlignment="1">
      <alignment/>
    </xf>
    <xf numFmtId="4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2" fillId="7" borderId="34" xfId="0" applyFont="1" applyFill="1" applyBorder="1" applyAlignment="1">
      <alignment horizontal="center" vertical="center"/>
    </xf>
    <xf numFmtId="8" fontId="6" fillId="7" borderId="35" xfId="0" applyNumberFormat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center" vertical="center"/>
    </xf>
    <xf numFmtId="8" fontId="6" fillId="7" borderId="14" xfId="0" applyNumberFormat="1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center" vertical="center"/>
    </xf>
    <xf numFmtId="8" fontId="6" fillId="7" borderId="13" xfId="0" applyNumberFormat="1" applyFont="1" applyFill="1" applyBorder="1" applyAlignment="1">
      <alignment horizontal="right" vertical="center"/>
    </xf>
    <xf numFmtId="44" fontId="18" fillId="19" borderId="0" xfId="0" applyNumberFormat="1" applyFont="1" applyFill="1" applyAlignment="1">
      <alignment horizontal="center" vertical="center"/>
    </xf>
    <xf numFmtId="0" fontId="0" fillId="19" borderId="0" xfId="0" applyFont="1" applyFill="1" applyAlignment="1">
      <alignment/>
    </xf>
    <xf numFmtId="0" fontId="3" fillId="28" borderId="36" xfId="34" applyFont="1" applyFill="1" applyBorder="1" applyAlignment="1">
      <alignment horizontal="center" vertical="center"/>
      <protection/>
    </xf>
    <xf numFmtId="0" fontId="3" fillId="28" borderId="37" xfId="34" applyFont="1" applyFill="1" applyBorder="1" applyAlignment="1">
      <alignment horizontal="center" vertical="center"/>
      <protection/>
    </xf>
    <xf numFmtId="0" fontId="66" fillId="11" borderId="37" xfId="34" applyFont="1" applyFill="1" applyBorder="1" applyAlignment="1">
      <alignment horizontal="center" vertical="center" wrapText="1"/>
      <protection/>
    </xf>
    <xf numFmtId="0" fontId="34" fillId="11" borderId="38" xfId="34" applyFont="1" applyFill="1" applyBorder="1" applyAlignment="1">
      <alignment horizontal="center" vertical="center"/>
      <protection/>
    </xf>
    <xf numFmtId="49" fontId="67" fillId="28" borderId="39" xfId="34" applyNumberFormat="1" applyFont="1" applyFill="1" applyBorder="1" applyAlignment="1">
      <alignment/>
      <protection/>
    </xf>
    <xf numFmtId="4" fontId="2" fillId="28" borderId="40" xfId="34" applyNumberFormat="1" applyFont="1" applyFill="1" applyBorder="1" applyAlignment="1">
      <alignment horizontal="center"/>
      <protection/>
    </xf>
    <xf numFmtId="0" fontId="68" fillId="11" borderId="39" xfId="0" applyFont="1" applyFill="1" applyBorder="1" applyAlignment="1">
      <alignment horizontal="center"/>
    </xf>
    <xf numFmtId="4" fontId="34" fillId="11" borderId="30" xfId="34" applyNumberFormat="1" applyFont="1" applyFill="1" applyBorder="1" applyAlignment="1">
      <alignment horizontal="center"/>
      <protection/>
    </xf>
    <xf numFmtId="49" fontId="67" fillId="28" borderId="29" xfId="34" applyNumberFormat="1" applyFont="1" applyFill="1" applyBorder="1" applyAlignment="1">
      <alignment/>
      <protection/>
    </xf>
    <xf numFmtId="4" fontId="2" fillId="28" borderId="30" xfId="34" applyNumberFormat="1" applyFont="1" applyFill="1" applyBorder="1" applyAlignment="1">
      <alignment horizontal="center"/>
      <protection/>
    </xf>
    <xf numFmtId="0" fontId="68" fillId="11" borderId="29" xfId="0" applyFont="1" applyFill="1" applyBorder="1" applyAlignment="1">
      <alignment horizontal="center"/>
    </xf>
    <xf numFmtId="0" fontId="0" fillId="28" borderId="29" xfId="34" applyFill="1" applyBorder="1">
      <alignment/>
      <protection/>
    </xf>
    <xf numFmtId="0" fontId="67" fillId="28" borderId="29" xfId="34" applyFont="1" applyFill="1" applyBorder="1" applyAlignment="1">
      <alignment/>
      <protection/>
    </xf>
    <xf numFmtId="0" fontId="20" fillId="11" borderId="29" xfId="0" applyFont="1" applyFill="1" applyBorder="1" applyAlignment="1">
      <alignment horizontal="center"/>
    </xf>
    <xf numFmtId="49" fontId="67" fillId="28" borderId="31" xfId="34" applyNumberFormat="1" applyFont="1" applyFill="1" applyBorder="1" applyAlignment="1">
      <alignment/>
      <protection/>
    </xf>
    <xf numFmtId="4" fontId="2" fillId="28" borderId="33" xfId="34" applyNumberFormat="1" applyFont="1" applyFill="1" applyBorder="1" applyAlignment="1">
      <alignment horizontal="center"/>
      <protection/>
    </xf>
    <xf numFmtId="0" fontId="20" fillId="11" borderId="31" xfId="0" applyFont="1" applyFill="1" applyBorder="1" applyAlignment="1">
      <alignment horizontal="center"/>
    </xf>
    <xf numFmtId="4" fontId="34" fillId="11" borderId="33" xfId="3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5" borderId="41" xfId="0" applyFont="1" applyFill="1" applyBorder="1" applyAlignment="1">
      <alignment/>
    </xf>
    <xf numFmtId="49" fontId="6" fillId="23" borderId="14" xfId="0" applyNumberFormat="1" applyFont="1" applyFill="1" applyBorder="1" applyAlignment="1">
      <alignment horizontal="right" vertical="center"/>
    </xf>
    <xf numFmtId="44" fontId="6" fillId="12" borderId="42" xfId="0" applyNumberFormat="1" applyFont="1" applyFill="1" applyBorder="1" applyAlignment="1">
      <alignment vertical="center"/>
    </xf>
    <xf numFmtId="44" fontId="6" fillId="12" borderId="43" xfId="0" applyNumberFormat="1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0" fillId="19" borderId="0" xfId="0" applyFill="1" applyAlignment="1">
      <alignment/>
    </xf>
    <xf numFmtId="8" fontId="6" fillId="23" borderId="44" xfId="0" applyNumberFormat="1" applyFont="1" applyFill="1" applyBorder="1" applyAlignment="1">
      <alignment horizontal="right" vertical="center"/>
    </xf>
    <xf numFmtId="49" fontId="6" fillId="23" borderId="35" xfId="0" applyNumberFormat="1" applyFont="1" applyFill="1" applyBorder="1" applyAlignment="1">
      <alignment horizontal="right" vertical="center"/>
    </xf>
    <xf numFmtId="8" fontId="6" fillId="23" borderId="45" xfId="0" applyNumberFormat="1" applyFont="1" applyFill="1" applyBorder="1" applyAlignment="1">
      <alignment horizontal="right" vertical="center"/>
    </xf>
    <xf numFmtId="8" fontId="6" fillId="23" borderId="46" xfId="0" applyNumberFormat="1" applyFont="1" applyFill="1" applyBorder="1" applyAlignment="1">
      <alignment/>
    </xf>
    <xf numFmtId="44" fontId="6" fillId="23" borderId="13" xfId="0" applyNumberFormat="1" applyFont="1" applyFill="1" applyBorder="1" applyAlignment="1">
      <alignment/>
    </xf>
    <xf numFmtId="8" fontId="6" fillId="23" borderId="44" xfId="0" applyNumberFormat="1" applyFont="1" applyFill="1" applyBorder="1" applyAlignment="1">
      <alignment/>
    </xf>
    <xf numFmtId="44" fontId="6" fillId="23" borderId="35" xfId="0" applyNumberFormat="1" applyFont="1" applyFill="1" applyBorder="1" applyAlignment="1">
      <alignment/>
    </xf>
    <xf numFmtId="0" fontId="4" fillId="23" borderId="47" xfId="0" applyFont="1" applyFill="1" applyBorder="1" applyAlignment="1">
      <alignment horizontal="right"/>
    </xf>
    <xf numFmtId="0" fontId="4" fillId="23" borderId="44" xfId="0" applyFont="1" applyFill="1" applyBorder="1" applyAlignment="1">
      <alignment horizontal="right"/>
    </xf>
    <xf numFmtId="0" fontId="4" fillId="23" borderId="48" xfId="0" applyFont="1" applyFill="1" applyBorder="1" applyAlignment="1">
      <alignment horizontal="right"/>
    </xf>
    <xf numFmtId="0" fontId="4" fillId="23" borderId="49" xfId="0" applyFont="1" applyFill="1" applyBorder="1" applyAlignment="1">
      <alignment horizontal="right"/>
    </xf>
    <xf numFmtId="0" fontId="4" fillId="23" borderId="45" xfId="0" applyFont="1" applyFill="1" applyBorder="1" applyAlignment="1">
      <alignment horizontal="right"/>
    </xf>
    <xf numFmtId="0" fontId="4" fillId="23" borderId="50" xfId="0" applyFont="1" applyFill="1" applyBorder="1" applyAlignment="1">
      <alignment horizontal="right"/>
    </xf>
    <xf numFmtId="43" fontId="3" fillId="9" borderId="51" xfId="0" applyNumberFormat="1" applyFont="1" applyFill="1" applyBorder="1" applyAlignment="1">
      <alignment horizontal="center" vertical="center" wrapText="1"/>
    </xf>
    <xf numFmtId="43" fontId="3" fillId="9" borderId="52" xfId="0" applyNumberFormat="1" applyFont="1" applyFill="1" applyBorder="1" applyAlignment="1">
      <alignment horizontal="center" vertical="center" wrapText="1"/>
    </xf>
    <xf numFmtId="43" fontId="3" fillId="9" borderId="53" xfId="0" applyNumberFormat="1" applyFont="1" applyFill="1" applyBorder="1" applyAlignment="1">
      <alignment horizontal="center" vertical="center" wrapText="1"/>
    </xf>
    <xf numFmtId="43" fontId="3" fillId="9" borderId="54" xfId="0" applyNumberFormat="1" applyFont="1" applyFill="1" applyBorder="1" applyAlignment="1">
      <alignment horizontal="center" vertical="center" wrapText="1"/>
    </xf>
    <xf numFmtId="43" fontId="3" fillId="9" borderId="55" xfId="0" applyNumberFormat="1" applyFont="1" applyFill="1" applyBorder="1" applyAlignment="1">
      <alignment horizontal="center" vertical="center" wrapText="1"/>
    </xf>
    <xf numFmtId="43" fontId="3" fillId="9" borderId="56" xfId="0" applyNumberFormat="1" applyFont="1" applyFill="1" applyBorder="1" applyAlignment="1">
      <alignment horizontal="center" vertical="center" wrapText="1"/>
    </xf>
    <xf numFmtId="8" fontId="6" fillId="23" borderId="46" xfId="0" applyNumberFormat="1" applyFont="1" applyFill="1" applyBorder="1" applyAlignment="1">
      <alignment horizontal="right" vertical="center"/>
    </xf>
    <xf numFmtId="44" fontId="6" fillId="23" borderId="13" xfId="0" applyNumberFormat="1" applyFont="1" applyFill="1" applyBorder="1" applyAlignment="1">
      <alignment horizontal="right" vertical="center"/>
    </xf>
    <xf numFmtId="44" fontId="6" fillId="23" borderId="35" xfId="0" applyNumberFormat="1" applyFont="1" applyFill="1" applyBorder="1" applyAlignment="1">
      <alignment horizontal="right" vertical="center"/>
    </xf>
    <xf numFmtId="8" fontId="6" fillId="23" borderId="45" xfId="0" applyNumberFormat="1" applyFont="1" applyFill="1" applyBorder="1" applyAlignment="1">
      <alignment/>
    </xf>
    <xf numFmtId="44" fontId="6" fillId="23" borderId="14" xfId="0" applyNumberFormat="1" applyFont="1" applyFill="1" applyBorder="1" applyAlignment="1">
      <alignment/>
    </xf>
    <xf numFmtId="0" fontId="4" fillId="23" borderId="57" xfId="0" applyFont="1" applyFill="1" applyBorder="1" applyAlignment="1">
      <alignment horizontal="right"/>
    </xf>
    <xf numFmtId="0" fontId="4" fillId="23" borderId="58" xfId="0" applyFont="1" applyFill="1" applyBorder="1" applyAlignment="1">
      <alignment horizontal="right"/>
    </xf>
    <xf numFmtId="0" fontId="4" fillId="23" borderId="46" xfId="0" applyFont="1" applyFill="1" applyBorder="1" applyAlignment="1">
      <alignment horizontal="right"/>
    </xf>
    <xf numFmtId="44" fontId="5" fillId="8" borderId="59" xfId="0" applyNumberFormat="1" applyFont="1" applyFill="1" applyBorder="1" applyAlignment="1">
      <alignment/>
    </xf>
    <xf numFmtId="44" fontId="5" fillId="8" borderId="60" xfId="0" applyNumberFormat="1" applyFont="1" applyFill="1" applyBorder="1" applyAlignment="1">
      <alignment/>
    </xf>
    <xf numFmtId="44" fontId="5" fillId="8" borderId="61" xfId="0" applyNumberFormat="1" applyFont="1" applyFill="1" applyBorder="1" applyAlignment="1">
      <alignment/>
    </xf>
    <xf numFmtId="0" fontId="10" fillId="5" borderId="0" xfId="0" applyFont="1" applyFill="1" applyBorder="1" applyAlignment="1">
      <alignment horizontal="right" vertical="center"/>
    </xf>
    <xf numFmtId="44" fontId="5" fillId="25" borderId="62" xfId="0" applyNumberFormat="1" applyFont="1" applyFill="1" applyBorder="1" applyAlignment="1">
      <alignment vertical="center"/>
    </xf>
    <xf numFmtId="44" fontId="5" fillId="25" borderId="63" xfId="0" applyNumberFormat="1" applyFont="1" applyFill="1" applyBorder="1" applyAlignment="1">
      <alignment vertical="center"/>
    </xf>
    <xf numFmtId="44" fontId="5" fillId="25" borderId="64" xfId="0" applyNumberFormat="1" applyFont="1" applyFill="1" applyBorder="1" applyAlignment="1">
      <alignment vertical="center"/>
    </xf>
    <xf numFmtId="9" fontId="0" fillId="19" borderId="0" xfId="0" applyNumberFormat="1" applyFont="1" applyFill="1" applyAlignment="1">
      <alignment/>
    </xf>
    <xf numFmtId="0" fontId="36" fillId="23" borderId="0" xfId="0" applyFont="1" applyFill="1" applyAlignment="1">
      <alignment horizontal="right"/>
    </xf>
    <xf numFmtId="0" fontId="42" fillId="5" borderId="52" xfId="0" applyFont="1" applyFill="1" applyBorder="1" applyAlignment="1">
      <alignment horizontal="right"/>
    </xf>
    <xf numFmtId="0" fontId="42" fillId="5" borderId="0" xfId="0" applyFont="1" applyFill="1" applyBorder="1" applyAlignment="1">
      <alignment horizontal="right"/>
    </xf>
    <xf numFmtId="0" fontId="42" fillId="5" borderId="65" xfId="0" applyFont="1" applyFill="1" applyBorder="1" applyAlignment="1">
      <alignment horizontal="right"/>
    </xf>
    <xf numFmtId="0" fontId="40" fillId="5" borderId="66" xfId="0" applyFont="1" applyFill="1" applyBorder="1" applyAlignment="1">
      <alignment horizontal="left"/>
    </xf>
    <xf numFmtId="0" fontId="40" fillId="5" borderId="23" xfId="0" applyFont="1" applyFill="1" applyBorder="1" applyAlignment="1">
      <alignment horizontal="left"/>
    </xf>
    <xf numFmtId="44" fontId="0" fillId="19" borderId="67" xfId="0" applyNumberFormat="1" applyFont="1" applyFill="1" applyBorder="1" applyAlignment="1">
      <alignment/>
    </xf>
    <xf numFmtId="44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4" fontId="44" fillId="29" borderId="0" xfId="0" applyNumberFormat="1" applyFont="1" applyFill="1" applyAlignment="1">
      <alignment horizontal="center" vertical="center"/>
    </xf>
    <xf numFmtId="44" fontId="5" fillId="8" borderId="68" xfId="0" applyNumberFormat="1" applyFont="1" applyFill="1" applyBorder="1" applyAlignment="1">
      <alignment vertical="center"/>
    </xf>
    <xf numFmtId="44" fontId="5" fillId="8" borderId="69" xfId="0" applyNumberFormat="1" applyFont="1" applyFill="1" applyBorder="1" applyAlignment="1">
      <alignment vertical="center"/>
    </xf>
    <xf numFmtId="44" fontId="5" fillId="8" borderId="7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44" fontId="5" fillId="8" borderId="68" xfId="0" applyNumberFormat="1" applyFont="1" applyFill="1" applyBorder="1" applyAlignment="1">
      <alignment horizontal="center" vertical="center"/>
    </xf>
    <xf numFmtId="44" fontId="5" fillId="8" borderId="69" xfId="0" applyNumberFormat="1" applyFont="1" applyFill="1" applyBorder="1" applyAlignment="1">
      <alignment horizontal="center" vertical="center"/>
    </xf>
    <xf numFmtId="44" fontId="5" fillId="8" borderId="70" xfId="0" applyNumberFormat="1" applyFont="1" applyFill="1" applyBorder="1" applyAlignment="1">
      <alignment horizontal="center" vertical="center"/>
    </xf>
    <xf numFmtId="44" fontId="45" fillId="30" borderId="71" xfId="0" applyNumberFormat="1" applyFont="1" applyFill="1" applyBorder="1" applyAlignment="1">
      <alignment/>
    </xf>
    <xf numFmtId="0" fontId="45" fillId="30" borderId="72" xfId="0" applyFont="1" applyFill="1" applyBorder="1" applyAlignment="1">
      <alignment/>
    </xf>
    <xf numFmtId="0" fontId="45" fillId="30" borderId="73" xfId="0" applyFont="1" applyFill="1" applyBorder="1" applyAlignment="1">
      <alignment/>
    </xf>
    <xf numFmtId="44" fontId="43" fillId="8" borderId="59" xfId="0" applyNumberFormat="1" applyFont="1" applyFill="1" applyBorder="1" applyAlignment="1">
      <alignment/>
    </xf>
    <xf numFmtId="44" fontId="43" fillId="8" borderId="60" xfId="0" applyNumberFormat="1" applyFont="1" applyFill="1" applyBorder="1" applyAlignment="1">
      <alignment/>
    </xf>
    <xf numFmtId="44" fontId="43" fillId="8" borderId="61" xfId="0" applyNumberFormat="1" applyFont="1" applyFill="1" applyBorder="1" applyAlignment="1">
      <alignment/>
    </xf>
    <xf numFmtId="9" fontId="36" fillId="23" borderId="74" xfId="0" applyNumberFormat="1" applyFont="1" applyFill="1" applyBorder="1" applyAlignment="1">
      <alignment horizontal="center" vertical="center"/>
    </xf>
    <xf numFmtId="0" fontId="36" fillId="23" borderId="75" xfId="0" applyFont="1" applyFill="1" applyBorder="1" applyAlignment="1">
      <alignment horizontal="center" vertical="center"/>
    </xf>
    <xf numFmtId="0" fontId="10" fillId="23" borderId="76" xfId="0" applyFont="1" applyFill="1" applyBorder="1" applyAlignment="1">
      <alignment horizontal="left" vertical="center"/>
    </xf>
    <xf numFmtId="0" fontId="10" fillId="23" borderId="77" xfId="0" applyFont="1" applyFill="1" applyBorder="1" applyAlignment="1">
      <alignment horizontal="left" vertical="center"/>
    </xf>
    <xf numFmtId="9" fontId="36" fillId="21" borderId="75" xfId="0" applyNumberFormat="1" applyFont="1" applyFill="1" applyBorder="1" applyAlignment="1">
      <alignment horizontal="center" vertical="center"/>
    </xf>
    <xf numFmtId="9" fontId="36" fillId="21" borderId="78" xfId="0" applyNumberFormat="1" applyFont="1" applyFill="1" applyBorder="1" applyAlignment="1">
      <alignment horizontal="center" vertical="center"/>
    </xf>
    <xf numFmtId="0" fontId="9" fillId="23" borderId="21" xfId="0" applyFont="1" applyFill="1" applyBorder="1" applyAlignment="1">
      <alignment horizontal="left" vertical="center"/>
    </xf>
    <xf numFmtId="44" fontId="5" fillId="8" borderId="68" xfId="0" applyNumberFormat="1" applyFont="1" applyFill="1" applyBorder="1" applyAlignment="1">
      <alignment horizontal="right" vertical="center"/>
    </xf>
    <xf numFmtId="44" fontId="5" fillId="8" borderId="69" xfId="0" applyNumberFormat="1" applyFont="1" applyFill="1" applyBorder="1" applyAlignment="1">
      <alignment horizontal="right" vertical="center"/>
    </xf>
    <xf numFmtId="44" fontId="5" fillId="8" borderId="70" xfId="0" applyNumberFormat="1" applyFont="1" applyFill="1" applyBorder="1" applyAlignment="1">
      <alignment horizontal="right" vertical="center"/>
    </xf>
    <xf numFmtId="0" fontId="41" fillId="23" borderId="62" xfId="0" applyFont="1" applyFill="1" applyBorder="1" applyAlignment="1">
      <alignment horizontal="center"/>
    </xf>
    <xf numFmtId="0" fontId="41" fillId="23" borderId="63" xfId="0" applyFont="1" applyFill="1" applyBorder="1" applyAlignment="1">
      <alignment horizontal="center"/>
    </xf>
    <xf numFmtId="44" fontId="17" fillId="31" borderId="0" xfId="0" applyNumberFormat="1" applyFont="1" applyFill="1" applyAlignment="1">
      <alignment horizontal="center" vertical="center"/>
    </xf>
    <xf numFmtId="0" fontId="16" fillId="31" borderId="0" xfId="0" applyFont="1" applyFill="1" applyAlignment="1">
      <alignment horizontal="left" vertical="center"/>
    </xf>
    <xf numFmtId="9" fontId="36" fillId="21" borderId="0" xfId="0" applyNumberFormat="1" applyFont="1" applyFill="1" applyAlignment="1">
      <alignment horizontal="center" vertical="center"/>
    </xf>
    <xf numFmtId="167" fontId="36" fillId="21" borderId="75" xfId="0" applyNumberFormat="1" applyFont="1" applyFill="1" applyBorder="1" applyAlignment="1">
      <alignment horizontal="center" vertical="center"/>
    </xf>
    <xf numFmtId="167" fontId="36" fillId="21" borderId="78" xfId="0" applyNumberFormat="1" applyFont="1" applyFill="1" applyBorder="1" applyAlignment="1">
      <alignment horizontal="center" vertical="center"/>
    </xf>
    <xf numFmtId="0" fontId="10" fillId="23" borderId="74" xfId="0" applyFont="1" applyFill="1" applyBorder="1" applyAlignment="1">
      <alignment horizontal="right" vertical="center"/>
    </xf>
    <xf numFmtId="0" fontId="10" fillId="23" borderId="79" xfId="0" applyFont="1" applyFill="1" applyBorder="1" applyAlignment="1">
      <alignment horizontal="right" vertical="center"/>
    </xf>
    <xf numFmtId="9" fontId="36" fillId="21" borderId="80" xfId="0" applyNumberFormat="1" applyFont="1" applyFill="1" applyBorder="1" applyAlignment="1">
      <alignment horizontal="center" vertical="center"/>
    </xf>
    <xf numFmtId="0" fontId="40" fillId="5" borderId="52" xfId="0" applyFont="1" applyFill="1" applyBorder="1" applyAlignment="1">
      <alignment horizontal="right"/>
    </xf>
    <xf numFmtId="0" fontId="40" fillId="5" borderId="0" xfId="0" applyFont="1" applyFill="1" applyBorder="1" applyAlignment="1">
      <alignment horizontal="right"/>
    </xf>
    <xf numFmtId="0" fontId="40" fillId="5" borderId="65" xfId="0" applyFont="1" applyFill="1" applyBorder="1" applyAlignment="1">
      <alignment horizontal="right"/>
    </xf>
    <xf numFmtId="0" fontId="0" fillId="5" borderId="23" xfId="0" applyFont="1" applyFill="1" applyBorder="1" applyAlignment="1">
      <alignment horizontal="center"/>
    </xf>
    <xf numFmtId="44" fontId="33" fillId="23" borderId="0" xfId="0" applyNumberFormat="1" applyFont="1" applyFill="1" applyAlignment="1">
      <alignment horizontal="left" vertical="top"/>
    </xf>
    <xf numFmtId="0" fontId="40" fillId="5" borderId="81" xfId="0" applyFont="1" applyFill="1" applyBorder="1" applyAlignment="1">
      <alignment horizontal="right"/>
    </xf>
    <xf numFmtId="0" fontId="40" fillId="5" borderId="21" xfId="0" applyFont="1" applyFill="1" applyBorder="1" applyAlignment="1">
      <alignment horizontal="right"/>
    </xf>
    <xf numFmtId="0" fontId="40" fillId="5" borderId="22" xfId="0" applyFont="1" applyFill="1" applyBorder="1" applyAlignment="1">
      <alignment horizontal="right"/>
    </xf>
    <xf numFmtId="0" fontId="36" fillId="23" borderId="0" xfId="0" applyFont="1" applyFill="1" applyBorder="1" applyAlignment="1">
      <alignment horizontal="right"/>
    </xf>
    <xf numFmtId="44" fontId="5" fillId="23" borderId="0" xfId="0" applyNumberFormat="1" applyFont="1" applyFill="1" applyBorder="1" applyAlignment="1">
      <alignment/>
    </xf>
    <xf numFmtId="0" fontId="5" fillId="23" borderId="0" xfId="0" applyFont="1" applyFill="1" applyBorder="1" applyAlignment="1">
      <alignment/>
    </xf>
    <xf numFmtId="44" fontId="45" fillId="30" borderId="82" xfId="0" applyNumberFormat="1" applyFont="1" applyFill="1" applyBorder="1" applyAlignment="1">
      <alignment/>
    </xf>
    <xf numFmtId="0" fontId="45" fillId="30" borderId="82" xfId="0" applyFont="1" applyFill="1" applyBorder="1" applyAlignment="1">
      <alignment/>
    </xf>
    <xf numFmtId="44" fontId="10" fillId="8" borderId="83" xfId="0" applyNumberFormat="1" applyFont="1" applyFill="1" applyBorder="1" applyAlignment="1">
      <alignment vertical="center"/>
    </xf>
    <xf numFmtId="44" fontId="10" fillId="8" borderId="60" xfId="0" applyNumberFormat="1" applyFont="1" applyFill="1" applyBorder="1" applyAlignment="1">
      <alignment vertical="center"/>
    </xf>
    <xf numFmtId="44" fontId="10" fillId="8" borderId="61" xfId="0" applyNumberFormat="1" applyFont="1" applyFill="1" applyBorder="1" applyAlignment="1">
      <alignment vertical="center"/>
    </xf>
    <xf numFmtId="0" fontId="10" fillId="23" borderId="75" xfId="0" applyFont="1" applyFill="1" applyBorder="1" applyAlignment="1">
      <alignment horizontal="right" vertical="center"/>
    </xf>
    <xf numFmtId="0" fontId="10" fillId="23" borderId="78" xfId="0" applyFont="1" applyFill="1" applyBorder="1" applyAlignment="1">
      <alignment horizontal="left" vertical="center"/>
    </xf>
    <xf numFmtId="0" fontId="10" fillId="23" borderId="84" xfId="0" applyFont="1" applyFill="1" applyBorder="1" applyAlignment="1">
      <alignment horizontal="left" vertical="center"/>
    </xf>
    <xf numFmtId="0" fontId="36" fillId="23" borderId="74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9" fontId="13" fillId="21" borderId="85" xfId="0" applyNumberFormat="1" applyFont="1" applyFill="1" applyBorder="1" applyAlignment="1">
      <alignment horizontal="center" vertical="center"/>
    </xf>
    <xf numFmtId="9" fontId="13" fillId="21" borderId="86" xfId="0" applyNumberFormat="1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65" xfId="0" applyFont="1" applyFill="1" applyBorder="1" applyAlignment="1">
      <alignment horizontal="right"/>
    </xf>
    <xf numFmtId="44" fontId="10" fillId="8" borderId="59" xfId="0" applyNumberFormat="1" applyFont="1" applyFill="1" applyBorder="1" applyAlignment="1">
      <alignment/>
    </xf>
    <xf numFmtId="44" fontId="10" fillId="8" borderId="60" xfId="0" applyNumberFormat="1" applyFont="1" applyFill="1" applyBorder="1" applyAlignment="1">
      <alignment/>
    </xf>
    <xf numFmtId="44" fontId="10" fillId="8" borderId="61" xfId="0" applyNumberFormat="1" applyFont="1" applyFill="1" applyBorder="1" applyAlignment="1">
      <alignment/>
    </xf>
    <xf numFmtId="44" fontId="33" fillId="25" borderId="0" xfId="0" applyNumberFormat="1" applyFont="1" applyFill="1" applyAlignment="1">
      <alignment horizontal="center" vertical="top"/>
    </xf>
    <xf numFmtId="44" fontId="10" fillId="8" borderId="59" xfId="0" applyNumberFormat="1" applyFont="1" applyFill="1" applyBorder="1" applyAlignment="1">
      <alignment vertical="center"/>
    </xf>
    <xf numFmtId="9" fontId="13" fillId="21" borderId="87" xfId="0" applyNumberFormat="1" applyFont="1" applyFill="1" applyBorder="1" applyAlignment="1">
      <alignment horizontal="center" vertical="center"/>
    </xf>
    <xf numFmtId="9" fontId="13" fillId="21" borderId="88" xfId="0" applyNumberFormat="1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9" fontId="13" fillId="21" borderId="0" xfId="0" applyNumberFormat="1" applyFont="1" applyFill="1" applyAlignment="1">
      <alignment horizontal="center" vertical="center"/>
    </xf>
    <xf numFmtId="44" fontId="18" fillId="30" borderId="0" xfId="0" applyNumberFormat="1" applyFont="1" applyFill="1" applyAlignment="1">
      <alignment horizontal="center" vertical="center"/>
    </xf>
    <xf numFmtId="9" fontId="13" fillId="21" borderId="87" xfId="0" applyNumberFormat="1" applyFont="1" applyFill="1" applyBorder="1" applyAlignment="1">
      <alignment horizontal="center" vertical="center"/>
    </xf>
    <xf numFmtId="9" fontId="13" fillId="21" borderId="88" xfId="0" applyNumberFormat="1" applyFont="1" applyFill="1" applyBorder="1" applyAlignment="1">
      <alignment horizontal="center" vertical="center"/>
    </xf>
    <xf numFmtId="0" fontId="5" fillId="5" borderId="8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right"/>
    </xf>
    <xf numFmtId="0" fontId="5" fillId="5" borderId="81" xfId="0" applyFont="1" applyFill="1" applyBorder="1" applyAlignment="1">
      <alignment horizontal="right"/>
    </xf>
    <xf numFmtId="0" fontId="5" fillId="5" borderId="21" xfId="0" applyFont="1" applyFill="1" applyBorder="1" applyAlignment="1">
      <alignment horizontal="right"/>
    </xf>
    <xf numFmtId="0" fontId="5" fillId="5" borderId="22" xfId="0" applyFont="1" applyFill="1" applyBorder="1" applyAlignment="1">
      <alignment horizontal="right"/>
    </xf>
    <xf numFmtId="0" fontId="5" fillId="5" borderId="66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1" fontId="23" fillId="21" borderId="0" xfId="56" applyFont="1" applyFill="1" applyBorder="1" applyAlignment="1">
      <alignment horizontal="center"/>
      <protection/>
    </xf>
  </cellXfs>
  <cellStyles count="54">
    <cellStyle name="Normal" xfId="0"/>
    <cellStyle name="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Îáű÷íűé_Ëč÷íűé_ńîńňŕâ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Деньги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Выслуга" xfId="56"/>
    <cellStyle name="Плохой" xfId="57"/>
    <cellStyle name="Пояснение" xfId="58"/>
    <cellStyle name="Примечание" xfId="59"/>
    <cellStyle name="Percent" xfId="60"/>
    <cellStyle name="рубли" xfId="61"/>
    <cellStyle name="Связанная ячейка" xfId="62"/>
    <cellStyle name="сотые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10</xdr:col>
      <xdr:colOff>1266825</xdr:colOff>
      <xdr:row>1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171450" y="28575"/>
          <a:ext cx="9582150" cy="438150"/>
          <a:chOff x="4" y="3"/>
          <a:chExt cx="878" cy="2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3"/>
            <a:ext cx="878" cy="24"/>
          </a:xfrm>
          <a:prstGeom prst="ribbon">
            <a:avLst>
              <a:gd name="adj" fmla="val -32231"/>
            </a:avLst>
          </a:prstGeom>
          <a:gradFill rotWithShape="1">
            <a:gsLst>
              <a:gs pos="0">
                <a:srgbClr val="000080"/>
              </a:gs>
              <a:gs pos="50000">
                <a:srgbClr val="FF0000"/>
              </a:gs>
              <a:gs pos="100000">
                <a:srgbClr val="000080"/>
              </a:gs>
            </a:gsLst>
            <a:lin ang="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61" y="5"/>
            <a:ext cx="565" cy="22"/>
          </a:xfrm>
          <a:prstGeom prst="rect">
            <a:avLst/>
          </a:pr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 Cyr"/>
                <a:ea typeface="Arial Cyr"/>
                <a:cs typeface="Arial Cyr"/>
              </a:rPr>
              <a:t>Должностные оклады офицеров</a:t>
            </a:r>
          </a:p>
        </xdr:txBody>
      </xdr:sp>
    </xdr:grpSp>
    <xdr:clientData/>
  </xdr:twoCellAnchor>
  <xdr:twoCellAnchor>
    <xdr:from>
      <xdr:col>1</xdr:col>
      <xdr:colOff>47625</xdr:colOff>
      <xdr:row>13</xdr:row>
      <xdr:rowOff>9525</xdr:rowOff>
    </xdr:from>
    <xdr:to>
      <xdr:col>11</xdr:col>
      <xdr:colOff>0</xdr:colOff>
      <xdr:row>14</xdr:row>
      <xdr:rowOff>76200</xdr:rowOff>
    </xdr:to>
    <xdr:grpSp>
      <xdr:nvGrpSpPr>
        <xdr:cNvPr id="4" name="Group 12"/>
        <xdr:cNvGrpSpPr>
          <a:grpSpLocks/>
        </xdr:cNvGrpSpPr>
      </xdr:nvGrpSpPr>
      <xdr:grpSpPr>
        <a:xfrm>
          <a:off x="171450" y="2571750"/>
          <a:ext cx="9591675" cy="247650"/>
          <a:chOff x="15" y="248"/>
          <a:chExt cx="878" cy="24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>
            <a:off x="15" y="248"/>
            <a:ext cx="878" cy="24"/>
          </a:xfrm>
          <a:prstGeom prst="ribbon">
            <a:avLst>
              <a:gd name="adj" fmla="val -34055"/>
            </a:avLst>
          </a:prstGeom>
          <a:gradFill rotWithShape="1">
            <a:gsLst>
              <a:gs pos="0">
                <a:srgbClr val="000080"/>
              </a:gs>
              <a:gs pos="50000">
                <a:srgbClr val="FF0000"/>
              </a:gs>
              <a:gs pos="100000">
                <a:srgbClr val="000080"/>
              </a:gs>
            </a:gsLst>
            <a:lin ang="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127" y="250"/>
            <a:ext cx="655" cy="22"/>
          </a:xfrm>
          <a:prstGeom prst="rect">
            <a:avLst/>
          </a:pr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</a:rPr>
              <a:t>Должностные оклады мичманов, прапорщиков и военнослужащих по контракту</a:t>
            </a:r>
          </a:p>
        </xdr:txBody>
      </xdr:sp>
    </xdr:grpSp>
    <xdr:clientData/>
  </xdr:twoCellAnchor>
  <xdr:twoCellAnchor>
    <xdr:from>
      <xdr:col>1</xdr:col>
      <xdr:colOff>9525</xdr:colOff>
      <xdr:row>17</xdr:row>
      <xdr:rowOff>19050</xdr:rowOff>
    </xdr:from>
    <xdr:to>
      <xdr:col>9</xdr:col>
      <xdr:colOff>466725</xdr:colOff>
      <xdr:row>18</xdr:row>
      <xdr:rowOff>152400</xdr:rowOff>
    </xdr:to>
    <xdr:grpSp>
      <xdr:nvGrpSpPr>
        <xdr:cNvPr id="7" name="Group 13"/>
        <xdr:cNvGrpSpPr>
          <a:grpSpLocks/>
        </xdr:cNvGrpSpPr>
      </xdr:nvGrpSpPr>
      <xdr:grpSpPr>
        <a:xfrm>
          <a:off x="133350" y="3400425"/>
          <a:ext cx="8229600" cy="323850"/>
          <a:chOff x="12" y="324"/>
          <a:chExt cx="754" cy="32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2" y="324"/>
            <a:ext cx="754" cy="32"/>
          </a:xfrm>
          <a:prstGeom prst="star24">
            <a:avLst>
              <a:gd name="adj" fmla="val -39435"/>
            </a:avLst>
          </a:prstGeom>
          <a:gradFill rotWithShape="1">
            <a:gsLst>
              <a:gs pos="0">
                <a:srgbClr val="0000FF"/>
              </a:gs>
              <a:gs pos="50000">
                <a:srgbClr val="CCFFFF"/>
              </a:gs>
              <a:gs pos="100000">
                <a:srgbClr val="0000FF"/>
              </a:gs>
            </a:gsLst>
            <a:lin ang="0" scaled="1"/>
          </a:gra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07" y="327"/>
            <a:ext cx="36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Оклады по воинским званиям</a:t>
            </a:r>
          </a:p>
        </xdr:txBody>
      </xdr:sp>
    </xdr:grpSp>
    <xdr:clientData/>
  </xdr:twoCellAnchor>
  <xdr:twoCellAnchor>
    <xdr:from>
      <xdr:col>1</xdr:col>
      <xdr:colOff>390525</xdr:colOff>
      <xdr:row>12</xdr:row>
      <xdr:rowOff>76200</xdr:rowOff>
    </xdr:from>
    <xdr:to>
      <xdr:col>2</xdr:col>
      <xdr:colOff>923925</xdr:colOff>
      <xdr:row>14</xdr:row>
      <xdr:rowOff>9525</xdr:rowOff>
    </xdr:to>
    <xdr:sp>
      <xdr:nvSpPr>
        <xdr:cNvPr id="10" name="AutoShape 14" descr="Голубая тисненая бумага"/>
        <xdr:cNvSpPr>
          <a:spLocks/>
        </xdr:cNvSpPr>
      </xdr:nvSpPr>
      <xdr:spPr>
        <a:xfrm>
          <a:off x="514350" y="2466975"/>
          <a:ext cx="1123950" cy="285750"/>
        </a:xfrm>
        <a:prstGeom prst="wedgeRoundRectCallout">
          <a:avLst>
            <a:gd name="adj1" fmla="val -42231"/>
            <a:gd name="adj2" fmla="val -113333"/>
          </a:avLst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Тарифный разряд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57150</xdr:rowOff>
    </xdr:from>
    <xdr:to>
      <xdr:col>217</xdr:col>
      <xdr:colOff>590550</xdr:colOff>
      <xdr:row>29</xdr:row>
      <xdr:rowOff>19050</xdr:rowOff>
    </xdr:to>
    <xdr:grpSp>
      <xdr:nvGrpSpPr>
        <xdr:cNvPr id="1" name="Group 37"/>
        <xdr:cNvGrpSpPr>
          <a:grpSpLocks/>
        </xdr:cNvGrpSpPr>
      </xdr:nvGrpSpPr>
      <xdr:grpSpPr>
        <a:xfrm>
          <a:off x="523875" y="1847850"/>
          <a:ext cx="10096500" cy="3048000"/>
          <a:chOff x="168" y="160"/>
          <a:chExt cx="693" cy="333"/>
        </a:xfrm>
        <a:solidFill>
          <a:srgbClr val="FFFFFF"/>
        </a:solidFill>
      </xdr:grpSpPr>
      <xdr:sp>
        <xdr:nvSpPr>
          <xdr:cNvPr id="2" name="AutoShape 14"/>
          <xdr:cNvSpPr>
            <a:spLocks/>
          </xdr:cNvSpPr>
        </xdr:nvSpPr>
        <xdr:spPr>
          <a:xfrm rot="731445">
            <a:off x="350" y="182"/>
            <a:ext cx="340" cy="202"/>
          </a:xfrm>
          <a:prstGeom prst="irregularSeal2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12" descr="PE01832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1" y="263"/>
            <a:ext cx="220" cy="2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19" descr="Дуб"/>
          <xdr:cNvSpPr>
            <a:spLocks/>
          </xdr:cNvSpPr>
        </xdr:nvSpPr>
        <xdr:spPr>
          <a:xfrm>
            <a:off x="253" y="160"/>
            <a:ext cx="503" cy="121"/>
          </a:xfrm>
          <a:prstGeom prst="wedgeEllipseCallout">
            <a:avLst>
              <a:gd name="adj1" fmla="val 43504"/>
              <a:gd name="adj2" fmla="val 113300"/>
            </a:avLst>
          </a:prstGeom>
          <a:blipFill>
            <a:blip r:embed="rId4"/>
            <a:srcRect/>
            <a:stretch>
              <a:fillRect/>
            </a:stretch>
          </a:blipFill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5" name="Picture 22" descr="BS00508_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5" y="284"/>
            <a:ext cx="70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 descr="EXAMIN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8" y="199"/>
            <a:ext cx="163" cy="1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26</xdr:row>
      <xdr:rowOff>95250</xdr:rowOff>
    </xdr:from>
    <xdr:to>
      <xdr:col>215</xdr:col>
      <xdr:colOff>285750</xdr:colOff>
      <xdr:row>31</xdr:row>
      <xdr:rowOff>123825</xdr:rowOff>
    </xdr:to>
    <xdr:sp>
      <xdr:nvSpPr>
        <xdr:cNvPr id="8" name="AutoShape 36"/>
        <xdr:cNvSpPr>
          <a:spLocks/>
        </xdr:cNvSpPr>
      </xdr:nvSpPr>
      <xdr:spPr>
        <a:xfrm>
          <a:off x="28575" y="4562475"/>
          <a:ext cx="8972550" cy="838200"/>
        </a:xfrm>
        <a:prstGeom prst="horizontalScroll">
          <a:avLst>
            <a:gd name="adj" fmla="val -25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27</xdr:row>
      <xdr:rowOff>152400</xdr:rowOff>
    </xdr:from>
    <xdr:to>
      <xdr:col>65</xdr:col>
      <xdr:colOff>0</xdr:colOff>
      <xdr:row>29</xdr:row>
      <xdr:rowOff>38100</xdr:rowOff>
    </xdr:to>
    <xdr:sp>
      <xdr:nvSpPr>
        <xdr:cNvPr id="1" name="Rectangle 16"/>
        <xdr:cNvSpPr>
          <a:spLocks/>
        </xdr:cNvSpPr>
      </xdr:nvSpPr>
      <xdr:spPr>
        <a:xfrm>
          <a:off x="571500" y="4686300"/>
          <a:ext cx="8686800" cy="323850"/>
        </a:xfrm>
        <a:prstGeom prst="rect">
          <a:avLst/>
        </a:prstGeom>
        <a:noFill/>
        <a:ln w="635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11</xdr:row>
      <xdr:rowOff>47625</xdr:rowOff>
    </xdr:from>
    <xdr:to>
      <xdr:col>73</xdr:col>
      <xdr:colOff>123825</xdr:colOff>
      <xdr:row>27</xdr:row>
      <xdr:rowOff>104775</xdr:rowOff>
    </xdr:to>
    <xdr:grpSp>
      <xdr:nvGrpSpPr>
        <xdr:cNvPr id="2" name="Group 18"/>
        <xdr:cNvGrpSpPr>
          <a:grpSpLocks/>
        </xdr:cNvGrpSpPr>
      </xdr:nvGrpSpPr>
      <xdr:grpSpPr>
        <a:xfrm>
          <a:off x="1733550" y="1609725"/>
          <a:ext cx="9324975" cy="3028950"/>
          <a:chOff x="168" y="176"/>
          <a:chExt cx="804" cy="317"/>
        </a:xfrm>
        <a:solidFill>
          <a:srgbClr val="FFFFFF"/>
        </a:solidFill>
      </xdr:grpSpPr>
      <xdr:sp>
        <xdr:nvSpPr>
          <xdr:cNvPr id="3" name="AutoShape 19"/>
          <xdr:cNvSpPr>
            <a:spLocks/>
          </xdr:cNvSpPr>
        </xdr:nvSpPr>
        <xdr:spPr>
          <a:xfrm rot="731445">
            <a:off x="352" y="228"/>
            <a:ext cx="329" cy="142"/>
          </a:xfrm>
          <a:prstGeom prst="irregularSeal2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4" name="Picture 20" descr="PE01832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1" y="263"/>
            <a:ext cx="331" cy="2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21" descr="Дуб"/>
          <xdr:cNvSpPr>
            <a:spLocks/>
          </xdr:cNvSpPr>
        </xdr:nvSpPr>
        <xdr:spPr>
          <a:xfrm>
            <a:off x="253" y="176"/>
            <a:ext cx="551" cy="105"/>
          </a:xfrm>
          <a:prstGeom prst="wedgeEllipseCallout">
            <a:avLst>
              <a:gd name="adj1" fmla="val 43504"/>
              <a:gd name="adj2" fmla="val 113300"/>
            </a:avLst>
          </a:prstGeom>
          <a:blipFill>
            <a:blip r:embed="rId4"/>
            <a:srcRect/>
            <a:stretch>
              <a:fillRect/>
            </a:stretch>
          </a:blipFill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6" name="Picture 22" descr="BS00508_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5" y="284"/>
            <a:ext cx="70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4" descr="EXAMIN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8" y="198"/>
            <a:ext cx="247" cy="1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314325</xdr:colOff>
      <xdr:row>26</xdr:row>
      <xdr:rowOff>142875</xdr:rowOff>
    </xdr:from>
    <xdr:to>
      <xdr:col>65</xdr:col>
      <xdr:colOff>85725</xdr:colOff>
      <xdr:row>30</xdr:row>
      <xdr:rowOff>38100</xdr:rowOff>
    </xdr:to>
    <xdr:sp>
      <xdr:nvSpPr>
        <xdr:cNvPr id="9" name="AutoShape 25"/>
        <xdr:cNvSpPr>
          <a:spLocks/>
        </xdr:cNvSpPr>
      </xdr:nvSpPr>
      <xdr:spPr>
        <a:xfrm>
          <a:off x="314325" y="4467225"/>
          <a:ext cx="9029700" cy="704850"/>
        </a:xfrm>
        <a:prstGeom prst="horizontalScroll">
          <a:avLst>
            <a:gd name="adj" fmla="val -25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123825</xdr:rowOff>
    </xdr:from>
    <xdr:to>
      <xdr:col>5</xdr:col>
      <xdr:colOff>180975</xdr:colOff>
      <xdr:row>2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638175" y="390525"/>
          <a:ext cx="4124325" cy="400050"/>
        </a:xfrm>
        <a:prstGeom prst="ellipseRibbon">
          <a:avLst>
            <a:gd name="adj1" fmla="val -37500"/>
            <a:gd name="adj2" fmla="val -8333"/>
          </a:avLst>
        </a:prstGeom>
        <a:gradFill rotWithShape="1">
          <a:gsLst>
            <a:gs pos="0">
              <a:srgbClr val="01624E"/>
            </a:gs>
            <a:gs pos="50000">
              <a:srgbClr val="03D4A8"/>
            </a:gs>
            <a:gs pos="100000">
              <a:srgbClr val="01624E"/>
            </a:gs>
          </a:gsLst>
          <a:lin ang="5400000" scaled="1"/>
        </a:gradFill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Общая выслуга лет на пенсию</a:t>
          </a:r>
        </a:p>
      </xdr:txBody>
    </xdr:sp>
    <xdr:clientData/>
  </xdr:twoCellAnchor>
  <xdr:twoCellAnchor>
    <xdr:from>
      <xdr:col>0</xdr:col>
      <xdr:colOff>685800</xdr:colOff>
      <xdr:row>7</xdr:row>
      <xdr:rowOff>9525</xdr:rowOff>
    </xdr:from>
    <xdr:to>
      <xdr:col>5</xdr:col>
      <xdr:colOff>219075</xdr:colOff>
      <xdr:row>8</xdr:row>
      <xdr:rowOff>323850</xdr:rowOff>
    </xdr:to>
    <xdr:sp>
      <xdr:nvSpPr>
        <xdr:cNvPr id="2" name="AutoShape 23"/>
        <xdr:cNvSpPr>
          <a:spLocks/>
        </xdr:cNvSpPr>
      </xdr:nvSpPr>
      <xdr:spPr>
        <a:xfrm>
          <a:off x="685800" y="1762125"/>
          <a:ext cx="4114800" cy="381000"/>
        </a:xfrm>
        <a:prstGeom prst="ellipseRibbon">
          <a:avLst>
            <a:gd name="adj1" fmla="val -37500"/>
            <a:gd name="adj2" fmla="val -8333"/>
          </a:avLst>
        </a:prstGeom>
        <a:gradFill rotWithShape="1">
          <a:gsLst>
            <a:gs pos="0">
              <a:srgbClr val="00FFFF"/>
            </a:gs>
            <a:gs pos="100000">
              <a:srgbClr val="007676"/>
            </a:gs>
          </a:gsLst>
          <a:lin ang="5400000" scaled="1"/>
        </a:gra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Выслуга для % надбавки
</a:t>
          </a:r>
        </a:p>
      </xdr:txBody>
    </xdr:sp>
    <xdr:clientData/>
  </xdr:twoCellAnchor>
  <xdr:oneCellAnchor>
    <xdr:from>
      <xdr:col>5</xdr:col>
      <xdr:colOff>104775</xdr:colOff>
      <xdr:row>9</xdr:row>
      <xdr:rowOff>104775</xdr:rowOff>
    </xdr:from>
    <xdr:ext cx="2657475" cy="619125"/>
    <xdr:sp>
      <xdr:nvSpPr>
        <xdr:cNvPr id="3" name="AutoShape 24" descr="Орех"/>
        <xdr:cNvSpPr>
          <a:spLocks/>
        </xdr:cNvSpPr>
      </xdr:nvSpPr>
      <xdr:spPr>
        <a:xfrm>
          <a:off x="4686300" y="2295525"/>
          <a:ext cx="2657475" cy="619125"/>
        </a:xfrm>
        <a:prstGeom prst="cloudCallout">
          <a:avLst>
            <a:gd name="adj1" fmla="val 33129"/>
            <a:gd name="adj2" fmla="val -130000"/>
          </a:avLst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 это твоя     льготная выслуга! !</a:t>
          </a:r>
        </a:p>
      </xdr:txBody>
    </xdr:sp>
    <xdr:clientData/>
  </xdr:oneCellAnchor>
  <xdr:twoCellAnchor>
    <xdr:from>
      <xdr:col>9</xdr:col>
      <xdr:colOff>85725</xdr:colOff>
      <xdr:row>2</xdr:row>
      <xdr:rowOff>47625</xdr:rowOff>
    </xdr:from>
    <xdr:to>
      <xdr:col>10</xdr:col>
      <xdr:colOff>447675</xdr:colOff>
      <xdr:row>4</xdr:row>
      <xdr:rowOff>209550</xdr:rowOff>
    </xdr:to>
    <xdr:sp>
      <xdr:nvSpPr>
        <xdr:cNvPr id="4" name="AutoShape 25"/>
        <xdr:cNvSpPr>
          <a:spLocks/>
        </xdr:cNvSpPr>
      </xdr:nvSpPr>
      <xdr:spPr>
        <a:xfrm rot="5400000">
          <a:off x="7353300" y="314325"/>
          <a:ext cx="676275" cy="904875"/>
        </a:xfrm>
        <a:prstGeom prst="curvedDownArrow">
          <a:avLst>
            <a:gd name="adj1" fmla="val 21532"/>
            <a:gd name="adj2" fmla="val 44657"/>
            <a:gd name="adj3" fmla="val -3032"/>
          </a:avLst>
        </a:prstGeom>
        <a:gradFill rotWithShape="1">
          <a:gsLst>
            <a:gs pos="0">
              <a:srgbClr val="FFFF99"/>
            </a:gs>
            <a:gs pos="100000">
              <a:srgbClr val="0000FF"/>
            </a:gs>
          </a:gsLst>
          <a:lin ang="5400000" scaled="1"/>
        </a:gra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SheetLayoutView="100" zoomScalePageLayoutView="0" workbookViewId="0" topLeftCell="A1">
      <selection activeCell="N31" sqref="N31"/>
    </sheetView>
  </sheetViews>
  <sheetFormatPr defaultColWidth="9.00390625" defaultRowHeight="12.75"/>
  <cols>
    <col min="1" max="1" width="1.625" style="0" customWidth="1"/>
    <col min="2" max="2" width="7.75390625" style="0" customWidth="1"/>
    <col min="3" max="3" width="17.75390625" style="1" customWidth="1"/>
    <col min="4" max="4" width="7.75390625" style="0" customWidth="1"/>
    <col min="5" max="5" width="17.75390625" style="1" customWidth="1"/>
    <col min="6" max="6" width="7.75390625" style="0" customWidth="1"/>
    <col min="7" max="7" width="17.75390625" style="1" customWidth="1"/>
    <col min="8" max="8" width="7.75390625" style="0" customWidth="1"/>
    <col min="9" max="9" width="17.75390625" style="1" customWidth="1"/>
    <col min="10" max="10" width="7.75390625" style="0" customWidth="1"/>
    <col min="11" max="11" width="16.75390625" style="1" customWidth="1"/>
    <col min="12" max="12" width="12.625" style="0" customWidth="1"/>
    <col min="14" max="14" width="15.875" style="0" customWidth="1"/>
    <col min="16" max="16" width="12.25390625" style="145" customWidth="1"/>
    <col min="17" max="17" width="10.125" style="0" bestFit="1" customWidth="1"/>
  </cols>
  <sheetData>
    <row r="1" spans="1:17" ht="29.25" thickBot="1">
      <c r="A1" s="12"/>
      <c r="B1" s="12"/>
      <c r="C1" s="13"/>
      <c r="D1" s="12"/>
      <c r="E1" s="13"/>
      <c r="F1" s="12"/>
      <c r="G1" s="13"/>
      <c r="H1" s="12"/>
      <c r="I1" s="13"/>
      <c r="J1" s="12"/>
      <c r="K1" s="13"/>
      <c r="L1" s="12"/>
      <c r="M1" s="12"/>
      <c r="N1" s="127" t="s">
        <v>106</v>
      </c>
      <c r="O1" s="128" t="s">
        <v>107</v>
      </c>
      <c r="P1" s="129" t="s">
        <v>26</v>
      </c>
      <c r="Q1" s="130" t="s">
        <v>107</v>
      </c>
    </row>
    <row r="2" spans="1:17" ht="15" thickBot="1">
      <c r="A2" s="12"/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2"/>
      <c r="N2" s="131" t="s">
        <v>108</v>
      </c>
      <c r="O2" s="132">
        <v>22000</v>
      </c>
      <c r="P2" s="133">
        <v>1</v>
      </c>
      <c r="Q2" s="134">
        <v>10000</v>
      </c>
    </row>
    <row r="3" spans="1:17" ht="15" thickTop="1">
      <c r="A3" s="12"/>
      <c r="B3" s="123">
        <v>1</v>
      </c>
      <c r="C3" s="124">
        <v>10000</v>
      </c>
      <c r="D3" s="123">
        <v>11</v>
      </c>
      <c r="E3" s="124">
        <v>20500</v>
      </c>
      <c r="F3" s="123">
        <v>21</v>
      </c>
      <c r="G3" s="124">
        <v>25500</v>
      </c>
      <c r="H3" s="123">
        <v>31</v>
      </c>
      <c r="I3" s="124">
        <v>30500</v>
      </c>
      <c r="J3" s="123">
        <v>41</v>
      </c>
      <c r="K3" s="124">
        <v>35500</v>
      </c>
      <c r="L3" s="12"/>
      <c r="M3" s="12"/>
      <c r="N3" s="135" t="s">
        <v>109</v>
      </c>
      <c r="O3" s="136">
        <v>17000</v>
      </c>
      <c r="P3" s="137">
        <v>2</v>
      </c>
      <c r="Q3" s="134">
        <v>10500</v>
      </c>
    </row>
    <row r="4" spans="1:17" ht="14.25">
      <c r="A4" s="12"/>
      <c r="B4" s="119">
        <v>2</v>
      </c>
      <c r="C4" s="120">
        <v>10500</v>
      </c>
      <c r="D4" s="119">
        <v>12</v>
      </c>
      <c r="E4" s="120">
        <v>21000</v>
      </c>
      <c r="F4" s="119">
        <v>22</v>
      </c>
      <c r="G4" s="120">
        <v>26000</v>
      </c>
      <c r="H4" s="119">
        <v>32</v>
      </c>
      <c r="I4" s="120">
        <v>31500</v>
      </c>
      <c r="J4" s="119">
        <v>42</v>
      </c>
      <c r="K4" s="120">
        <v>36000</v>
      </c>
      <c r="L4" s="12"/>
      <c r="M4" s="12"/>
      <c r="N4" s="135" t="s">
        <v>110</v>
      </c>
      <c r="O4" s="136">
        <v>15000</v>
      </c>
      <c r="P4" s="137">
        <v>3</v>
      </c>
      <c r="Q4" s="134">
        <v>11500</v>
      </c>
    </row>
    <row r="5" spans="1:17" ht="14.25">
      <c r="A5" s="12"/>
      <c r="B5" s="119">
        <v>3</v>
      </c>
      <c r="C5" s="120">
        <v>11500</v>
      </c>
      <c r="D5" s="119">
        <v>13</v>
      </c>
      <c r="E5" s="120">
        <v>21500</v>
      </c>
      <c r="F5" s="119">
        <v>23</v>
      </c>
      <c r="G5" s="120">
        <v>26500</v>
      </c>
      <c r="H5" s="119">
        <v>33</v>
      </c>
      <c r="I5" s="120">
        <v>31500</v>
      </c>
      <c r="J5" s="119">
        <v>43</v>
      </c>
      <c r="K5" s="120">
        <v>36500</v>
      </c>
      <c r="L5" s="12"/>
      <c r="M5" s="12"/>
      <c r="N5" s="135" t="s">
        <v>111</v>
      </c>
      <c r="O5" s="136">
        <v>20000</v>
      </c>
      <c r="P5" s="137">
        <v>4</v>
      </c>
      <c r="Q5" s="134">
        <v>12500</v>
      </c>
    </row>
    <row r="6" spans="1:17" ht="14.25">
      <c r="A6" s="12"/>
      <c r="B6" s="119">
        <v>4</v>
      </c>
      <c r="C6" s="120">
        <v>12500</v>
      </c>
      <c r="D6" s="119">
        <v>14</v>
      </c>
      <c r="E6" s="120">
        <v>22000</v>
      </c>
      <c r="F6" s="119">
        <v>24</v>
      </c>
      <c r="G6" s="120">
        <v>27000</v>
      </c>
      <c r="H6" s="119">
        <v>34</v>
      </c>
      <c r="I6" s="120">
        <v>32000</v>
      </c>
      <c r="J6" s="119">
        <v>44</v>
      </c>
      <c r="K6" s="120">
        <v>37000</v>
      </c>
      <c r="L6" s="12"/>
      <c r="M6" s="12"/>
      <c r="N6" s="135" t="s">
        <v>112</v>
      </c>
      <c r="O6" s="136">
        <v>5500</v>
      </c>
      <c r="P6" s="137">
        <v>5</v>
      </c>
      <c r="Q6" s="134">
        <v>14500</v>
      </c>
    </row>
    <row r="7" spans="1:17" ht="14.25">
      <c r="A7" s="12"/>
      <c r="B7" s="119">
        <v>5</v>
      </c>
      <c r="C7" s="120">
        <v>14500</v>
      </c>
      <c r="D7" s="119">
        <v>15</v>
      </c>
      <c r="E7" s="120">
        <v>22500</v>
      </c>
      <c r="F7" s="119">
        <v>25</v>
      </c>
      <c r="G7" s="120">
        <v>27500</v>
      </c>
      <c r="H7" s="119">
        <v>35</v>
      </c>
      <c r="I7" s="120">
        <v>32500</v>
      </c>
      <c r="J7" s="119">
        <v>45</v>
      </c>
      <c r="K7" s="120">
        <v>37500</v>
      </c>
      <c r="L7" s="12"/>
      <c r="M7" s="12"/>
      <c r="N7" s="135" t="s">
        <v>113</v>
      </c>
      <c r="O7" s="136">
        <v>11000</v>
      </c>
      <c r="P7" s="137">
        <v>6</v>
      </c>
      <c r="Q7" s="134">
        <v>15000</v>
      </c>
    </row>
    <row r="8" spans="1:17" ht="14.25">
      <c r="A8" s="12"/>
      <c r="B8" s="119">
        <v>6</v>
      </c>
      <c r="C8" s="120">
        <v>15000</v>
      </c>
      <c r="D8" s="119">
        <v>16</v>
      </c>
      <c r="E8" s="120">
        <v>23000</v>
      </c>
      <c r="F8" s="119">
        <v>26</v>
      </c>
      <c r="G8" s="120">
        <v>28000</v>
      </c>
      <c r="H8" s="119">
        <v>36</v>
      </c>
      <c r="I8" s="120">
        <v>33000</v>
      </c>
      <c r="J8" s="119">
        <v>46</v>
      </c>
      <c r="K8" s="120">
        <v>38000</v>
      </c>
      <c r="L8" s="12"/>
      <c r="M8" s="12"/>
      <c r="N8" s="138" t="s">
        <v>114</v>
      </c>
      <c r="O8" s="136">
        <v>10000</v>
      </c>
      <c r="P8" s="137">
        <v>7</v>
      </c>
      <c r="Q8" s="134">
        <v>16000</v>
      </c>
    </row>
    <row r="9" spans="1:17" ht="14.25">
      <c r="A9" s="12"/>
      <c r="B9" s="119">
        <v>7</v>
      </c>
      <c r="C9" s="120">
        <v>16000</v>
      </c>
      <c r="D9" s="119">
        <v>17</v>
      </c>
      <c r="E9" s="120">
        <v>23500</v>
      </c>
      <c r="F9" s="119">
        <v>27</v>
      </c>
      <c r="G9" s="120">
        <v>28500</v>
      </c>
      <c r="H9" s="119">
        <v>37</v>
      </c>
      <c r="I9" s="120">
        <v>33500</v>
      </c>
      <c r="J9" s="119">
        <v>47</v>
      </c>
      <c r="K9" s="120">
        <v>40000</v>
      </c>
      <c r="L9" s="12"/>
      <c r="M9" s="12"/>
      <c r="N9" s="135" t="s">
        <v>115</v>
      </c>
      <c r="O9" s="136">
        <v>11500</v>
      </c>
      <c r="P9" s="137">
        <v>8</v>
      </c>
      <c r="Q9" s="134">
        <v>16500</v>
      </c>
    </row>
    <row r="10" spans="1:17" ht="14.25">
      <c r="A10" s="12"/>
      <c r="B10" s="119">
        <v>8</v>
      </c>
      <c r="C10" s="120">
        <v>16500</v>
      </c>
      <c r="D10" s="119">
        <v>18</v>
      </c>
      <c r="E10" s="120">
        <v>24000</v>
      </c>
      <c r="F10" s="119">
        <v>28</v>
      </c>
      <c r="G10" s="120">
        <v>29000</v>
      </c>
      <c r="H10" s="119">
        <v>38</v>
      </c>
      <c r="I10" s="120">
        <v>34000</v>
      </c>
      <c r="J10" s="119">
        <v>48</v>
      </c>
      <c r="K10" s="120">
        <v>42000</v>
      </c>
      <c r="L10" s="12"/>
      <c r="M10" s="12"/>
      <c r="N10" s="135" t="s">
        <v>116</v>
      </c>
      <c r="O10" s="136">
        <v>1080</v>
      </c>
      <c r="P10" s="137">
        <v>9</v>
      </c>
      <c r="Q10" s="134">
        <v>17000</v>
      </c>
    </row>
    <row r="11" spans="1:17" ht="14.25">
      <c r="A11" s="12"/>
      <c r="B11" s="119">
        <v>9</v>
      </c>
      <c r="C11" s="120">
        <v>17000</v>
      </c>
      <c r="D11" s="119">
        <v>19</v>
      </c>
      <c r="E11" s="120">
        <v>24500</v>
      </c>
      <c r="F11" s="119">
        <v>29</v>
      </c>
      <c r="G11" s="120">
        <v>29500</v>
      </c>
      <c r="H11" s="119">
        <v>39</v>
      </c>
      <c r="I11" s="120">
        <v>34500</v>
      </c>
      <c r="J11" s="119">
        <v>49</v>
      </c>
      <c r="K11" s="120">
        <v>44000</v>
      </c>
      <c r="L11" s="12"/>
      <c r="M11" s="12"/>
      <c r="N11" s="139" t="s">
        <v>117</v>
      </c>
      <c r="O11" s="136">
        <v>9500</v>
      </c>
      <c r="P11" s="137">
        <v>10</v>
      </c>
      <c r="Q11" s="134">
        <v>20000</v>
      </c>
    </row>
    <row r="12" spans="1:17" ht="15" thickBot="1">
      <c r="A12" s="12"/>
      <c r="B12" s="121">
        <v>10</v>
      </c>
      <c r="C12" s="122">
        <v>20000</v>
      </c>
      <c r="D12" s="121">
        <v>20</v>
      </c>
      <c r="E12" s="122">
        <v>25000</v>
      </c>
      <c r="F12" s="121">
        <v>30</v>
      </c>
      <c r="G12" s="122">
        <v>30000</v>
      </c>
      <c r="H12" s="121">
        <v>40</v>
      </c>
      <c r="I12" s="122">
        <v>35000</v>
      </c>
      <c r="J12" s="121">
        <v>50</v>
      </c>
      <c r="K12" s="122">
        <v>45000</v>
      </c>
      <c r="L12" s="12"/>
      <c r="M12" s="12"/>
      <c r="N12" s="135" t="s">
        <v>118</v>
      </c>
      <c r="O12" s="136">
        <v>6000</v>
      </c>
      <c r="P12" s="137">
        <v>11</v>
      </c>
      <c r="Q12" s="134">
        <v>20500</v>
      </c>
    </row>
    <row r="13" spans="1:17" ht="13.5" thickTop="1">
      <c r="A13" s="12"/>
      <c r="B13" s="14"/>
      <c r="C13" s="15"/>
      <c r="D13" s="14"/>
      <c r="E13" s="15"/>
      <c r="F13" s="14"/>
      <c r="G13" s="16"/>
      <c r="H13" s="14"/>
      <c r="I13" s="15"/>
      <c r="J13" s="15"/>
      <c r="K13" s="15"/>
      <c r="L13" s="12"/>
      <c r="M13" s="12"/>
      <c r="N13" s="135" t="s">
        <v>119</v>
      </c>
      <c r="O13" s="136">
        <v>12000</v>
      </c>
      <c r="P13" s="140">
        <v>12</v>
      </c>
      <c r="Q13" s="134">
        <v>21000</v>
      </c>
    </row>
    <row r="14" spans="1:17" ht="14.25">
      <c r="A14" s="12"/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2"/>
      <c r="N14" s="135" t="s">
        <v>120</v>
      </c>
      <c r="O14" s="136">
        <v>13000</v>
      </c>
      <c r="P14" s="137">
        <v>13</v>
      </c>
      <c r="Q14" s="134">
        <v>21500</v>
      </c>
    </row>
    <row r="15" spans="1:17" ht="20.25" customHeight="1" thickBot="1">
      <c r="A15" s="1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2"/>
      <c r="N15" s="135" t="s">
        <v>121</v>
      </c>
      <c r="O15" s="136">
        <v>8000</v>
      </c>
      <c r="P15" s="140">
        <v>14</v>
      </c>
      <c r="Q15" s="134">
        <v>22000</v>
      </c>
    </row>
    <row r="16" spans="1:17" ht="15" thickTop="1">
      <c r="A16" s="12"/>
      <c r="B16" s="2">
        <v>1</v>
      </c>
      <c r="C16" s="4">
        <v>10000</v>
      </c>
      <c r="D16" s="2">
        <v>3</v>
      </c>
      <c r="E16" s="4">
        <v>11500</v>
      </c>
      <c r="F16" s="2">
        <v>5</v>
      </c>
      <c r="G16" s="4">
        <v>14500</v>
      </c>
      <c r="H16" s="2">
        <v>7</v>
      </c>
      <c r="I16" s="4">
        <v>16000</v>
      </c>
      <c r="J16" s="2">
        <v>9</v>
      </c>
      <c r="K16" s="4">
        <v>17000</v>
      </c>
      <c r="L16" s="12"/>
      <c r="M16" s="12"/>
      <c r="N16" s="135" t="s">
        <v>122</v>
      </c>
      <c r="O16" s="136">
        <v>5000</v>
      </c>
      <c r="P16" s="140">
        <v>15</v>
      </c>
      <c r="Q16" s="134">
        <v>22500</v>
      </c>
    </row>
    <row r="17" spans="1:17" ht="15" thickBot="1">
      <c r="A17" s="12"/>
      <c r="B17" s="3">
        <v>2</v>
      </c>
      <c r="C17" s="5">
        <v>10500</v>
      </c>
      <c r="D17" s="3">
        <v>4</v>
      </c>
      <c r="E17" s="5">
        <v>12500</v>
      </c>
      <c r="F17" s="3">
        <v>6</v>
      </c>
      <c r="G17" s="5">
        <v>15000</v>
      </c>
      <c r="H17" s="3">
        <v>8</v>
      </c>
      <c r="I17" s="5">
        <v>16500</v>
      </c>
      <c r="J17" s="3"/>
      <c r="K17" s="5"/>
      <c r="L17" s="12"/>
      <c r="M17" s="12"/>
      <c r="N17" s="135" t="s">
        <v>123</v>
      </c>
      <c r="O17" s="136">
        <v>6500</v>
      </c>
      <c r="P17" s="140">
        <v>16</v>
      </c>
      <c r="Q17" s="134">
        <v>23000</v>
      </c>
    </row>
    <row r="18" spans="1:17" ht="15" thickTop="1">
      <c r="A18" s="12"/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2"/>
      <c r="N18" s="135" t="s">
        <v>124</v>
      </c>
      <c r="O18" s="136">
        <v>10500</v>
      </c>
      <c r="P18" s="137">
        <v>17</v>
      </c>
      <c r="Q18" s="134">
        <v>23500</v>
      </c>
    </row>
    <row r="19" spans="1:17" ht="13.5" thickBot="1">
      <c r="A19" s="12"/>
      <c r="B19" s="12"/>
      <c r="C19" s="13"/>
      <c r="D19" s="12"/>
      <c r="E19" s="13"/>
      <c r="F19" s="12"/>
      <c r="G19" s="13"/>
      <c r="H19" s="12"/>
      <c r="I19" s="15"/>
      <c r="J19" s="14"/>
      <c r="K19" s="13"/>
      <c r="L19" s="12"/>
      <c r="M19" s="12"/>
      <c r="N19" s="135" t="s">
        <v>125</v>
      </c>
      <c r="O19" s="136">
        <v>8500</v>
      </c>
      <c r="P19" s="140">
        <v>18</v>
      </c>
      <c r="Q19" s="134">
        <v>24000</v>
      </c>
    </row>
    <row r="20" spans="1:17" ht="15" thickTop="1">
      <c r="A20" s="12"/>
      <c r="B20" s="179" t="s">
        <v>0</v>
      </c>
      <c r="C20" s="180"/>
      <c r="D20" s="158">
        <v>5000</v>
      </c>
      <c r="E20" s="159"/>
      <c r="F20" s="179" t="s">
        <v>10</v>
      </c>
      <c r="G20" s="181"/>
      <c r="H20" s="180"/>
      <c r="I20" s="174">
        <v>10500</v>
      </c>
      <c r="J20" s="175"/>
      <c r="K20" s="168" t="s">
        <v>22</v>
      </c>
      <c r="L20" s="6"/>
      <c r="M20" s="12"/>
      <c r="N20" s="135" t="s">
        <v>126</v>
      </c>
      <c r="O20" s="136">
        <v>7000</v>
      </c>
      <c r="P20" s="140">
        <v>19</v>
      </c>
      <c r="Q20" s="134">
        <v>24500</v>
      </c>
    </row>
    <row r="21" spans="1:17" ht="15" thickBot="1">
      <c r="A21" s="12"/>
      <c r="B21" s="162" t="s">
        <v>1</v>
      </c>
      <c r="C21" s="164"/>
      <c r="D21" s="160">
        <v>5500</v>
      </c>
      <c r="E21" s="161"/>
      <c r="F21" s="162" t="s">
        <v>11</v>
      </c>
      <c r="G21" s="163"/>
      <c r="H21" s="164"/>
      <c r="I21" s="155">
        <v>11000</v>
      </c>
      <c r="J21" s="176"/>
      <c r="K21" s="169"/>
      <c r="L21" s="11"/>
      <c r="M21" s="12"/>
      <c r="N21" s="141" t="s">
        <v>127</v>
      </c>
      <c r="O21" s="142">
        <v>7500</v>
      </c>
      <c r="P21" s="140">
        <v>20</v>
      </c>
      <c r="Q21" s="134">
        <v>25000</v>
      </c>
    </row>
    <row r="22" spans="1:17" ht="15" thickBot="1">
      <c r="A22" s="12"/>
      <c r="B22" s="162" t="s">
        <v>2</v>
      </c>
      <c r="C22" s="164"/>
      <c r="D22" s="160">
        <v>6000</v>
      </c>
      <c r="E22" s="161"/>
      <c r="F22" s="162" t="s">
        <v>12</v>
      </c>
      <c r="G22" s="163"/>
      <c r="H22" s="164"/>
      <c r="I22" s="155">
        <v>11500</v>
      </c>
      <c r="J22" s="176"/>
      <c r="K22" s="170"/>
      <c r="L22" s="8"/>
      <c r="M22" s="12"/>
      <c r="P22" s="140">
        <v>21</v>
      </c>
      <c r="Q22" s="134">
        <v>25500</v>
      </c>
    </row>
    <row r="23" spans="1:17" ht="14.25">
      <c r="A23" s="12"/>
      <c r="B23" s="162" t="s">
        <v>3</v>
      </c>
      <c r="C23" s="164"/>
      <c r="D23" s="160">
        <v>6500</v>
      </c>
      <c r="E23" s="161"/>
      <c r="F23" s="162" t="s">
        <v>13</v>
      </c>
      <c r="G23" s="163"/>
      <c r="H23" s="164"/>
      <c r="I23" s="155">
        <v>12000</v>
      </c>
      <c r="J23" s="156"/>
      <c r="K23" s="171" t="s">
        <v>20</v>
      </c>
      <c r="L23" s="9"/>
      <c r="M23" s="12"/>
      <c r="P23" s="140">
        <v>22</v>
      </c>
      <c r="Q23" s="134">
        <v>26000</v>
      </c>
    </row>
    <row r="24" spans="1:17" ht="14.25">
      <c r="A24" s="12"/>
      <c r="B24" s="162" t="s">
        <v>4</v>
      </c>
      <c r="C24" s="164"/>
      <c r="D24" s="160">
        <v>7000</v>
      </c>
      <c r="E24" s="161"/>
      <c r="F24" s="162" t="s">
        <v>14</v>
      </c>
      <c r="G24" s="163"/>
      <c r="H24" s="164"/>
      <c r="I24" s="155">
        <v>13000</v>
      </c>
      <c r="J24" s="156"/>
      <c r="K24" s="169"/>
      <c r="L24" s="11">
        <v>6000</v>
      </c>
      <c r="M24" s="12"/>
      <c r="P24" s="140">
        <v>23</v>
      </c>
      <c r="Q24" s="134">
        <v>26500</v>
      </c>
    </row>
    <row r="25" spans="1:17" ht="15" thickBot="1">
      <c r="A25" s="12"/>
      <c r="B25" s="162" t="s">
        <v>5</v>
      </c>
      <c r="C25" s="164"/>
      <c r="D25" s="160">
        <v>7500</v>
      </c>
      <c r="E25" s="161"/>
      <c r="F25" s="162" t="s">
        <v>15</v>
      </c>
      <c r="G25" s="163"/>
      <c r="H25" s="164"/>
      <c r="I25" s="155">
        <v>15000</v>
      </c>
      <c r="J25" s="156"/>
      <c r="K25" s="171"/>
      <c r="L25" s="9"/>
      <c r="M25" s="12"/>
      <c r="P25" s="140">
        <v>24</v>
      </c>
      <c r="Q25" s="134">
        <v>27000</v>
      </c>
    </row>
    <row r="26" spans="1:17" ht="14.25" customHeight="1">
      <c r="A26" s="12"/>
      <c r="B26" s="162" t="s">
        <v>6</v>
      </c>
      <c r="C26" s="164"/>
      <c r="D26" s="160">
        <v>8000</v>
      </c>
      <c r="E26" s="161"/>
      <c r="F26" s="162" t="s">
        <v>16</v>
      </c>
      <c r="G26" s="163"/>
      <c r="H26" s="164"/>
      <c r="I26" s="155">
        <v>17000</v>
      </c>
      <c r="J26" s="156"/>
      <c r="K26" s="172" t="s">
        <v>21</v>
      </c>
      <c r="L26" s="10"/>
      <c r="M26" s="12"/>
      <c r="P26" s="137">
        <v>25</v>
      </c>
      <c r="Q26" s="134">
        <v>27500</v>
      </c>
    </row>
    <row r="27" spans="1:17" ht="14.25" customHeight="1">
      <c r="A27" s="12"/>
      <c r="B27" s="162" t="s">
        <v>7</v>
      </c>
      <c r="C27" s="164"/>
      <c r="D27" s="160">
        <v>8500</v>
      </c>
      <c r="E27" s="161"/>
      <c r="F27" s="162" t="s">
        <v>17</v>
      </c>
      <c r="G27" s="163"/>
      <c r="H27" s="164"/>
      <c r="I27" s="155">
        <v>20000</v>
      </c>
      <c r="J27" s="156"/>
      <c r="K27" s="169"/>
      <c r="L27" s="150">
        <v>100</v>
      </c>
      <c r="M27" s="12"/>
      <c r="P27" s="140">
        <v>26</v>
      </c>
      <c r="Q27" s="134">
        <v>28000</v>
      </c>
    </row>
    <row r="28" spans="1:17" ht="14.25" customHeight="1">
      <c r="A28" s="12"/>
      <c r="B28" s="162" t="s">
        <v>8</v>
      </c>
      <c r="C28" s="164"/>
      <c r="D28" s="160">
        <v>9500</v>
      </c>
      <c r="E28" s="161"/>
      <c r="F28" s="162" t="s">
        <v>18</v>
      </c>
      <c r="G28" s="163"/>
      <c r="H28" s="164"/>
      <c r="I28" s="155">
        <v>22000</v>
      </c>
      <c r="J28" s="156"/>
      <c r="K28" s="169"/>
      <c r="L28" s="151"/>
      <c r="M28" s="12"/>
      <c r="P28" s="140">
        <v>27</v>
      </c>
      <c r="Q28" s="134">
        <v>28500</v>
      </c>
    </row>
    <row r="29" spans="1:17" ht="15" customHeight="1" thickBot="1">
      <c r="A29" s="12"/>
      <c r="B29" s="165" t="s">
        <v>9</v>
      </c>
      <c r="C29" s="167"/>
      <c r="D29" s="177">
        <v>10000</v>
      </c>
      <c r="E29" s="178"/>
      <c r="F29" s="165" t="s">
        <v>19</v>
      </c>
      <c r="G29" s="166"/>
      <c r="H29" s="167"/>
      <c r="I29" s="157">
        <v>0</v>
      </c>
      <c r="J29" s="149"/>
      <c r="K29" s="173"/>
      <c r="L29" s="7"/>
      <c r="M29" s="12"/>
      <c r="P29" s="140">
        <v>28</v>
      </c>
      <c r="Q29" s="134">
        <v>29000</v>
      </c>
    </row>
    <row r="30" spans="1:17" ht="13.5" thickTop="1">
      <c r="A30" s="12"/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2"/>
      <c r="P30" s="140">
        <v>29</v>
      </c>
      <c r="Q30" s="134">
        <v>29500</v>
      </c>
    </row>
    <row r="31" spans="1:17" ht="12.75">
      <c r="A31" s="1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2"/>
      <c r="P31" s="140">
        <v>30</v>
      </c>
      <c r="Q31" s="134">
        <v>30000</v>
      </c>
    </row>
    <row r="32" spans="1:17" ht="12.75">
      <c r="A32" s="12"/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2"/>
      <c r="P32" s="140">
        <v>31</v>
      </c>
      <c r="Q32" s="134">
        <v>30500</v>
      </c>
    </row>
    <row r="33" spans="1:17" ht="12.75">
      <c r="A33" s="1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2"/>
      <c r="P33" s="140">
        <v>32</v>
      </c>
      <c r="Q33" s="134">
        <v>31500</v>
      </c>
    </row>
    <row r="34" spans="1:17" ht="12.75">
      <c r="A34" s="12"/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2"/>
      <c r="P34" s="140">
        <v>33</v>
      </c>
      <c r="Q34" s="134">
        <v>31500</v>
      </c>
    </row>
    <row r="35" spans="1:17" ht="12.75">
      <c r="A35" s="1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2"/>
      <c r="P35" s="140">
        <v>34</v>
      </c>
      <c r="Q35" s="134">
        <v>32000</v>
      </c>
    </row>
    <row r="36" spans="1:17" ht="12.75">
      <c r="A36" s="12"/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2"/>
      <c r="P36" s="140">
        <v>35</v>
      </c>
      <c r="Q36" s="134">
        <v>32500</v>
      </c>
    </row>
    <row r="37" spans="13:17" ht="12.75">
      <c r="M37" s="12"/>
      <c r="P37" s="140">
        <v>36</v>
      </c>
      <c r="Q37" s="134">
        <v>33000</v>
      </c>
    </row>
    <row r="38" spans="16:17" ht="12.75">
      <c r="P38" s="140">
        <v>37</v>
      </c>
      <c r="Q38" s="134">
        <v>33500</v>
      </c>
    </row>
    <row r="39" spans="16:17" ht="12.75">
      <c r="P39" s="140">
        <v>38</v>
      </c>
      <c r="Q39" s="134">
        <v>34000</v>
      </c>
    </row>
    <row r="40" spans="16:17" ht="12.75">
      <c r="P40" s="140">
        <v>39</v>
      </c>
      <c r="Q40" s="134">
        <v>34500</v>
      </c>
    </row>
    <row r="41" spans="16:17" ht="12.75">
      <c r="P41" s="140">
        <v>40</v>
      </c>
      <c r="Q41" s="134">
        <v>35000</v>
      </c>
    </row>
    <row r="42" spans="16:17" ht="12.75">
      <c r="P42" s="140">
        <v>41</v>
      </c>
      <c r="Q42" s="134">
        <v>35500</v>
      </c>
    </row>
    <row r="43" spans="16:17" ht="12.75">
      <c r="P43" s="140">
        <v>42</v>
      </c>
      <c r="Q43" s="134">
        <v>36000</v>
      </c>
    </row>
    <row r="44" spans="16:17" ht="12.75">
      <c r="P44" s="140">
        <v>43</v>
      </c>
      <c r="Q44" s="134">
        <v>36500</v>
      </c>
    </row>
    <row r="45" spans="16:17" ht="12.75">
      <c r="P45" s="140">
        <v>44</v>
      </c>
      <c r="Q45" s="134">
        <v>37000</v>
      </c>
    </row>
    <row r="46" spans="16:17" ht="12.75">
      <c r="P46" s="140">
        <v>45</v>
      </c>
      <c r="Q46" s="134">
        <v>37500</v>
      </c>
    </row>
    <row r="47" spans="16:17" ht="12.75">
      <c r="P47" s="140">
        <v>46</v>
      </c>
      <c r="Q47" s="134">
        <v>38000</v>
      </c>
    </row>
    <row r="48" spans="16:17" ht="12.75">
      <c r="P48" s="140">
        <v>47</v>
      </c>
      <c r="Q48" s="134">
        <v>40000</v>
      </c>
    </row>
    <row r="49" spans="16:17" ht="12.75">
      <c r="P49" s="140">
        <v>48</v>
      </c>
      <c r="Q49" s="134">
        <v>42000</v>
      </c>
    </row>
    <row r="50" spans="16:17" ht="12.75">
      <c r="P50" s="140">
        <v>49</v>
      </c>
      <c r="Q50" s="134">
        <v>44000</v>
      </c>
    </row>
    <row r="51" spans="16:17" ht="12.75">
      <c r="P51" s="140">
        <v>50</v>
      </c>
      <c r="Q51" s="134">
        <v>45000</v>
      </c>
    </row>
    <row r="52" spans="16:17" ht="12.75">
      <c r="P52" s="140">
        <v>51</v>
      </c>
      <c r="Q52" s="134" t="s">
        <v>128</v>
      </c>
    </row>
    <row r="53" spans="16:17" ht="12.75">
      <c r="P53" s="140" t="s">
        <v>129</v>
      </c>
      <c r="Q53" s="134"/>
    </row>
    <row r="54" spans="16:17" ht="12.75">
      <c r="P54" s="140" t="s">
        <v>130</v>
      </c>
      <c r="Q54" s="134"/>
    </row>
    <row r="55" spans="16:17" ht="12.75">
      <c r="P55" s="140" t="s">
        <v>131</v>
      </c>
      <c r="Q55" s="134"/>
    </row>
    <row r="56" spans="16:17" ht="12.75">
      <c r="P56" s="140" t="s">
        <v>132</v>
      </c>
      <c r="Q56" s="134"/>
    </row>
    <row r="57" spans="16:17" ht="12.75">
      <c r="P57" s="140" t="s">
        <v>133</v>
      </c>
      <c r="Q57" s="134"/>
    </row>
    <row r="58" spans="16:17" ht="12.75">
      <c r="P58" s="140" t="s">
        <v>134</v>
      </c>
      <c r="Q58" s="134"/>
    </row>
    <row r="59" spans="16:17" ht="12.75">
      <c r="P59" s="140" t="s">
        <v>135</v>
      </c>
      <c r="Q59" s="134"/>
    </row>
    <row r="60" spans="16:17" ht="12.75">
      <c r="P60" s="140" t="s">
        <v>136</v>
      </c>
      <c r="Q60" s="134"/>
    </row>
    <row r="61" spans="16:17" ht="13.5" thickBot="1">
      <c r="P61" s="143" t="s">
        <v>137</v>
      </c>
      <c r="Q61" s="144"/>
    </row>
  </sheetData>
  <sheetProtection/>
  <mergeCells count="44">
    <mergeCell ref="F20:H20"/>
    <mergeCell ref="F21:H21"/>
    <mergeCell ref="F22:H22"/>
    <mergeCell ref="F23:H23"/>
    <mergeCell ref="B20:C20"/>
    <mergeCell ref="B21:C21"/>
    <mergeCell ref="B22:C22"/>
    <mergeCell ref="B23:C23"/>
    <mergeCell ref="F24:H24"/>
    <mergeCell ref="F25:H25"/>
    <mergeCell ref="B26:C26"/>
    <mergeCell ref="B27:C27"/>
    <mergeCell ref="F26:H26"/>
    <mergeCell ref="F27:H27"/>
    <mergeCell ref="B24:C24"/>
    <mergeCell ref="B25:C25"/>
    <mergeCell ref="B28:C28"/>
    <mergeCell ref="B29:C29"/>
    <mergeCell ref="D28:E28"/>
    <mergeCell ref="D29:E29"/>
    <mergeCell ref="F28:H28"/>
    <mergeCell ref="F29:H29"/>
    <mergeCell ref="K20:K22"/>
    <mergeCell ref="K23:K25"/>
    <mergeCell ref="K26:K29"/>
    <mergeCell ref="I20:J20"/>
    <mergeCell ref="I21:J21"/>
    <mergeCell ref="I22:J22"/>
    <mergeCell ref="I23:J23"/>
    <mergeCell ref="I24:J24"/>
    <mergeCell ref="L27:L28"/>
    <mergeCell ref="D20:E20"/>
    <mergeCell ref="D21:E21"/>
    <mergeCell ref="D22:E22"/>
    <mergeCell ref="D23:E23"/>
    <mergeCell ref="D24:E24"/>
    <mergeCell ref="D26:E26"/>
    <mergeCell ref="D27:E27"/>
    <mergeCell ref="D25:E25"/>
    <mergeCell ref="I25:J25"/>
    <mergeCell ref="I26:J26"/>
    <mergeCell ref="I27:J27"/>
    <mergeCell ref="I28:J28"/>
    <mergeCell ref="I29:J29"/>
  </mergeCells>
  <printOptions/>
  <pageMargins left="0.75" right="0.75" top="1" bottom="1" header="0.5" footer="0.5"/>
  <pageSetup horizontalDpi="120" verticalDpi="12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53"/>
  <sheetViews>
    <sheetView tabSelected="1" view="pageBreakPreview" zoomScaleNormal="125" zoomScaleSheetLayoutView="100" zoomScalePageLayoutView="0" workbookViewId="0" topLeftCell="A1">
      <selection activeCell="HK30" sqref="HK30"/>
    </sheetView>
  </sheetViews>
  <sheetFormatPr defaultColWidth="9.00390625" defaultRowHeight="12.75"/>
  <cols>
    <col min="1" max="1" width="5.75390625" style="110" customWidth="1"/>
    <col min="2" max="2" width="0.12890625" style="82" customWidth="1"/>
    <col min="3" max="7" width="9.125" style="82" customWidth="1"/>
    <col min="8" max="8" width="10.875" style="82" bestFit="1" customWidth="1"/>
    <col min="9" max="11" width="2.75390625" style="82" customWidth="1"/>
    <col min="12" max="12" width="5.625" style="82" customWidth="1"/>
    <col min="13" max="16" width="2.75390625" style="82" customWidth="1"/>
    <col min="17" max="17" width="4.875" style="82" customWidth="1"/>
    <col min="18" max="18" width="3.75390625" style="82" customWidth="1"/>
    <col min="19" max="23" width="2.75390625" style="82" customWidth="1"/>
    <col min="24" max="24" width="4.75390625" style="82" customWidth="1"/>
    <col min="25" max="27" width="3.625" style="82" hidden="1" customWidth="1"/>
    <col min="28" max="28" width="9.875" style="82" hidden="1" customWidth="1"/>
    <col min="29" max="29" width="19.25390625" style="82" hidden="1" customWidth="1"/>
    <col min="30" max="35" width="3.625" style="82" hidden="1" customWidth="1"/>
    <col min="36" max="36" width="10.375" style="82" hidden="1" customWidth="1"/>
    <col min="37" max="37" width="18.25390625" style="82" hidden="1" customWidth="1"/>
    <col min="38" max="42" width="3.625" style="82" hidden="1" customWidth="1"/>
    <col min="43" max="43" width="7.75390625" style="82" hidden="1" customWidth="1"/>
    <col min="44" max="44" width="17.75390625" style="82" hidden="1" customWidth="1"/>
    <col min="45" max="49" width="3.625" style="82" hidden="1" customWidth="1"/>
    <col min="50" max="50" width="3.75390625" style="82" hidden="1" customWidth="1"/>
    <col min="51" max="51" width="13.75390625" style="82" hidden="1" customWidth="1"/>
    <col min="52" max="55" width="3.625" style="82" hidden="1" customWidth="1"/>
    <col min="56" max="56" width="8.25390625" style="82" hidden="1" customWidth="1"/>
    <col min="57" max="57" width="13.625" style="82" hidden="1" customWidth="1"/>
    <col min="58" max="58" width="22.375" style="82" hidden="1" customWidth="1"/>
    <col min="59" max="62" width="3.625" style="82" hidden="1" customWidth="1"/>
    <col min="63" max="63" width="5.75390625" style="82" hidden="1" customWidth="1"/>
    <col min="64" max="64" width="3.625" style="82" hidden="1" customWidth="1"/>
    <col min="65" max="65" width="19.375" style="82" hidden="1" customWidth="1"/>
    <col min="66" max="71" width="3.625" style="82" hidden="1" customWidth="1"/>
    <col min="72" max="72" width="14.875" style="82" hidden="1" customWidth="1"/>
    <col min="73" max="78" width="3.625" style="82" hidden="1" customWidth="1"/>
    <col min="79" max="79" width="33.375" style="82" hidden="1" customWidth="1"/>
    <col min="80" max="215" width="2.75390625" style="82" hidden="1" customWidth="1"/>
    <col min="216" max="216" width="9.125" style="82" customWidth="1"/>
    <col min="217" max="217" width="8.125" style="82" customWidth="1"/>
    <col min="218" max="16384" width="9.125" style="82" customWidth="1"/>
  </cols>
  <sheetData>
    <row r="1" spans="1:218" ht="12.7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</row>
    <row r="2" spans="1:218" ht="13.5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</row>
    <row r="3" spans="1:218" s="77" customFormat="1" ht="17.25" thickBot="1" thickTop="1">
      <c r="A3" s="73"/>
      <c r="B3" s="74"/>
      <c r="C3" s="185" t="s">
        <v>23</v>
      </c>
      <c r="D3" s="185"/>
      <c r="E3" s="185"/>
      <c r="F3" s="185"/>
      <c r="G3" s="185"/>
      <c r="H3" s="185"/>
      <c r="I3" s="219" t="s">
        <v>26</v>
      </c>
      <c r="J3" s="219"/>
      <c r="K3" s="219"/>
      <c r="L3" s="219"/>
      <c r="M3" s="219"/>
      <c r="N3" s="219"/>
      <c r="O3" s="75"/>
      <c r="P3" s="75"/>
      <c r="Q3" s="75"/>
      <c r="R3" s="148"/>
      <c r="S3" s="200">
        <f>IF(AB3=1,Оклады!C3,IF(AB3=2,Оклады!C4,IF(AB3=3,Оклады!C5,IF(AB3=4,Оклады!C6,IF(AB3=5,Оклады!C7,IF(AB3=6,Оклады!C8,IF(AB3=7,Оклады!C9,AB4)))))))</f>
        <v>24500</v>
      </c>
      <c r="T3" s="201"/>
      <c r="U3" s="201"/>
      <c r="V3" s="201"/>
      <c r="W3" s="201"/>
      <c r="X3" s="202"/>
      <c r="Y3" s="76"/>
      <c r="Z3" s="76"/>
      <c r="AA3" s="76">
        <v>1</v>
      </c>
      <c r="AB3" s="76">
        <v>19</v>
      </c>
      <c r="AC3" s="76" t="s">
        <v>27</v>
      </c>
      <c r="AD3" s="76"/>
      <c r="AE3" s="76"/>
      <c r="AF3" s="76"/>
      <c r="AG3" s="76"/>
      <c r="AH3" s="76"/>
      <c r="AI3" s="76"/>
      <c r="AJ3" s="76">
        <v>8</v>
      </c>
      <c r="AK3" s="76" t="s">
        <v>44</v>
      </c>
      <c r="AL3" s="76"/>
      <c r="AM3" s="76"/>
      <c r="AN3" s="76"/>
      <c r="AO3" s="76"/>
      <c r="AP3" s="76"/>
      <c r="AQ3" s="76">
        <v>8</v>
      </c>
      <c r="AR3" s="76" t="s">
        <v>97</v>
      </c>
      <c r="AS3" s="76"/>
      <c r="AT3" s="76"/>
      <c r="AU3" s="76"/>
      <c r="AV3" s="76"/>
      <c r="AW3" s="76"/>
      <c r="AX3" s="76">
        <v>2</v>
      </c>
      <c r="AY3" s="76" t="s">
        <v>54</v>
      </c>
      <c r="AZ3" s="76"/>
      <c r="BA3" s="76"/>
      <c r="BB3" s="76"/>
      <c r="BC3" s="76"/>
      <c r="BD3" s="76">
        <v>14</v>
      </c>
      <c r="BE3" s="76">
        <f>IF(BD3=8,R30*43%,IF(BD3=9,R30*46%,IF(BD3=10,R30*49%,IF(BD3=11,R30*50%,IF(BD3&gt;11,R30*50%)))))</f>
        <v>11727.45</v>
      </c>
      <c r="BF3" s="76"/>
      <c r="BG3" s="76"/>
      <c r="BH3" s="76"/>
      <c r="BI3" s="76"/>
      <c r="BJ3" s="76"/>
      <c r="BK3" s="76"/>
      <c r="BL3" s="76"/>
      <c r="BM3" s="12" t="s">
        <v>100</v>
      </c>
      <c r="BN3" s="76"/>
      <c r="BO3" s="76"/>
      <c r="BP3" s="76"/>
      <c r="BQ3" s="76">
        <v>2</v>
      </c>
      <c r="BR3" s="76"/>
      <c r="BS3" s="76"/>
      <c r="BT3" s="12" t="s">
        <v>102</v>
      </c>
      <c r="BU3" s="76"/>
      <c r="BV3" s="76"/>
      <c r="BW3" s="76">
        <v>1</v>
      </c>
      <c r="BX3" s="76"/>
      <c r="BY3" s="76"/>
      <c r="BZ3" s="76"/>
      <c r="CA3" s="76"/>
      <c r="HH3" s="76"/>
      <c r="HI3" s="76"/>
      <c r="HJ3" s="76"/>
    </row>
    <row r="4" spans="1:218" s="77" customFormat="1" ht="17.25" thickBot="1" thickTop="1">
      <c r="A4" s="73"/>
      <c r="B4" s="74"/>
      <c r="C4" s="185" t="s">
        <v>24</v>
      </c>
      <c r="D4" s="185"/>
      <c r="E4" s="185"/>
      <c r="F4" s="185"/>
      <c r="G4" s="185"/>
      <c r="H4" s="185"/>
      <c r="O4" s="78"/>
      <c r="P4" s="78"/>
      <c r="Q4" s="78"/>
      <c r="R4" s="78"/>
      <c r="S4" s="220">
        <f>IF(AJ3=1,Оклады!D28,IF(AJ3=2,Оклады!D29,IF(AJ3=3,Оклады!I20,IF(AJ3=4,Оклады!I21,IF(AJ3=5,Оклады!I21,IF(AJ3=6,Оклады!I22,IF(AJ3=7,Оклады!I22,AJ4)))))))</f>
        <v>12000</v>
      </c>
      <c r="T4" s="221"/>
      <c r="U4" s="221"/>
      <c r="V4" s="221"/>
      <c r="W4" s="221"/>
      <c r="X4" s="222"/>
      <c r="Y4" s="76"/>
      <c r="Z4" s="76"/>
      <c r="AA4" s="76">
        <v>2</v>
      </c>
      <c r="AB4" s="76">
        <f>IF(AB3=8,Оклады!C10,IF(AB3=9,Оклады!C11,IF(AB3=10,Оклады!C12,IF(AB3=11,Оклады!E3,IF(AB3=12,Оклады!E4,IF(AB3=13,Оклады!E5,IF(AB3=14,Оклады!E6,AB5)))))))</f>
        <v>24500</v>
      </c>
      <c r="AC4" s="76" t="s">
        <v>9</v>
      </c>
      <c r="AD4" s="76"/>
      <c r="AE4" s="76"/>
      <c r="AF4" s="76"/>
      <c r="AG4" s="76"/>
      <c r="AH4" s="76"/>
      <c r="AI4" s="76"/>
      <c r="AJ4" s="76">
        <f>IF(AJ3=8,Оклады!I23,IF(AJ3=9,Оклады!I23,IF(AJ3=10,Оклады!I24,IF(AJ3=11,Оклады!I24,IF(AJ3=12,Оклады!I25,IF(AJ3=13,Оклады!I25,IF(AJ3=14,Оклады!I26,AJ5)))))))</f>
        <v>12000</v>
      </c>
      <c r="AK4" s="76" t="s">
        <v>45</v>
      </c>
      <c r="AL4" s="76"/>
      <c r="AM4" s="76"/>
      <c r="AN4" s="76"/>
      <c r="AO4" s="76"/>
      <c r="AP4" s="76"/>
      <c r="AQ4" s="76"/>
      <c r="AR4" s="76" t="s">
        <v>51</v>
      </c>
      <c r="AS4" s="76"/>
      <c r="AT4" s="76"/>
      <c r="AU4" s="76"/>
      <c r="AV4" s="76"/>
      <c r="AW4" s="76"/>
      <c r="AX4" s="76"/>
      <c r="AY4" s="76" t="s">
        <v>55</v>
      </c>
      <c r="AZ4" s="76"/>
      <c r="BA4" s="76"/>
      <c r="BB4" s="76"/>
      <c r="BC4" s="76"/>
      <c r="BD4" s="76">
        <f>IF(BD3=9,AY18*71%,IF(BD3=10,AY18*74%,IF(BD3=11,AY18*77%,IF(BD3=12,AY18*80%,IF(BD3=13,AY18*83%,IF(BD3=14,AY18*85%))))))</f>
        <v>43435</v>
      </c>
      <c r="BE4" s="76"/>
      <c r="BF4" s="79" t="s">
        <v>76</v>
      </c>
      <c r="BG4" s="76"/>
      <c r="BH4" s="76"/>
      <c r="BI4" s="76"/>
      <c r="BJ4" s="76"/>
      <c r="BK4" s="76">
        <v>3</v>
      </c>
      <c r="BL4" s="76"/>
      <c r="BM4" s="12" t="s">
        <v>101</v>
      </c>
      <c r="BN4" s="76"/>
      <c r="BO4" s="76"/>
      <c r="BP4" s="76"/>
      <c r="BQ4" s="76"/>
      <c r="BR4" s="76"/>
      <c r="BS4" s="76"/>
      <c r="BT4" s="12" t="s">
        <v>103</v>
      </c>
      <c r="BU4" s="76"/>
      <c r="BV4" s="76"/>
      <c r="BW4" s="76"/>
      <c r="BX4" s="76"/>
      <c r="BY4" s="76"/>
      <c r="BZ4" s="76"/>
      <c r="CA4" s="76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HH4" s="76"/>
      <c r="HI4" s="76"/>
      <c r="HJ4" s="76"/>
    </row>
    <row r="5" spans="1:218" s="77" customFormat="1" ht="17.25" thickBot="1" thickTop="1">
      <c r="A5" s="73"/>
      <c r="B5" s="74"/>
      <c r="C5" s="185" t="s">
        <v>74</v>
      </c>
      <c r="D5" s="185"/>
      <c r="E5" s="185"/>
      <c r="F5" s="185"/>
      <c r="G5" s="185"/>
      <c r="H5" s="185"/>
      <c r="P5" s="78"/>
      <c r="Q5" s="217">
        <f>IF(AQ3=1,0.1,IF(AQ3=2,0.1,IF(AQ3=3,0.15,IF(AQ3=4,0.2,IF(AQ3=5,0.25,IF(AQ3=6,0.3,IF(AQ3=7,0.3,IF(AQ3=8,0.4))))))))</f>
        <v>0.4</v>
      </c>
      <c r="R5" s="218"/>
      <c r="S5" s="200">
        <f>(S3+S4)*Q5</f>
        <v>14600</v>
      </c>
      <c r="T5" s="201"/>
      <c r="U5" s="201"/>
      <c r="V5" s="201"/>
      <c r="W5" s="201"/>
      <c r="X5" s="202"/>
      <c r="Y5" s="76"/>
      <c r="Z5" s="76"/>
      <c r="AA5" s="76">
        <v>3</v>
      </c>
      <c r="AB5" s="76">
        <f>IF(AB3=15,Оклады!E7,IF(AB3=16,Оклады!E8,IF(AB3=17,Оклады!E9,IF(AB3=18,Оклады!E10,IF(AB3=19,Оклады!E11,IF(AB3=20,Оклады!E12,IF(AB3=21,Оклады!G3,AB6)))))))</f>
        <v>24500</v>
      </c>
      <c r="AC5" s="76" t="s">
        <v>75</v>
      </c>
      <c r="AD5" s="76"/>
      <c r="AE5" s="76"/>
      <c r="AF5" s="76"/>
      <c r="AG5" s="76"/>
      <c r="AH5" s="76"/>
      <c r="AI5" s="76"/>
      <c r="AJ5" s="76" t="b">
        <f>IF(AJ3=15,Оклады!I26,IF(AJ3=16,Оклады!I27,IF(AJ3=17,Оклады!I27,IF(AJ3=18,Оклады!I28,IF(AJ3=19,Оклады!I28,IF(AJ3=20,Оклады!I29))))))</f>
        <v>0</v>
      </c>
      <c r="AK5" s="76" t="s">
        <v>46</v>
      </c>
      <c r="AL5" s="76"/>
      <c r="AM5" s="76"/>
      <c r="AN5" s="76"/>
      <c r="AO5" s="76"/>
      <c r="AP5" s="76"/>
      <c r="AQ5" s="76"/>
      <c r="AR5" s="76" t="s">
        <v>52</v>
      </c>
      <c r="AS5" s="76"/>
      <c r="AT5" s="76"/>
      <c r="AU5" s="76"/>
      <c r="AV5" s="76"/>
      <c r="AW5" s="76"/>
      <c r="AX5" s="76"/>
      <c r="AY5" s="76" t="s">
        <v>56</v>
      </c>
      <c r="AZ5" s="76"/>
      <c r="BA5" s="76"/>
      <c r="BB5" s="76"/>
      <c r="BC5" s="76"/>
      <c r="BD5" s="76">
        <f>IF(BD3=8,0.68,IF(BD3=9,0.71,IF(BD3=10,0.74,IF(BD3=11,0.77,IF(BD3=12,0.8,IF(BD3=13,0.83,IF(BD3=14,0.85)))))))</f>
        <v>0.85</v>
      </c>
      <c r="BE5" s="76"/>
      <c r="BF5" s="81" t="s">
        <v>77</v>
      </c>
      <c r="BG5" s="76"/>
      <c r="BH5" s="76"/>
      <c r="BI5" s="76"/>
      <c r="BJ5" s="76"/>
      <c r="BK5" s="76"/>
      <c r="BL5" s="76"/>
      <c r="BM5" s="12"/>
      <c r="BN5" s="76"/>
      <c r="BO5" s="76"/>
      <c r="BP5" s="76"/>
      <c r="BQ5" s="76"/>
      <c r="BR5" s="76"/>
      <c r="BS5" s="76"/>
      <c r="BT5" s="12" t="s">
        <v>104</v>
      </c>
      <c r="BU5" s="76"/>
      <c r="BV5" s="76"/>
      <c r="BW5" s="76"/>
      <c r="BX5" s="76"/>
      <c r="BY5" s="76"/>
      <c r="BZ5" s="76"/>
      <c r="CA5" s="76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HH5" s="76"/>
      <c r="HI5" s="76"/>
      <c r="HJ5" s="76"/>
    </row>
    <row r="6" spans="1:218" s="77" customFormat="1" ht="17.25" thickBot="1" thickTop="1">
      <c r="A6" s="73"/>
      <c r="B6" s="74"/>
      <c r="C6" s="185" t="s">
        <v>138</v>
      </c>
      <c r="D6" s="185"/>
      <c r="E6" s="185"/>
      <c r="F6" s="185"/>
      <c r="G6" s="185"/>
      <c r="H6" s="185"/>
      <c r="I6" s="203"/>
      <c r="J6" s="203"/>
      <c r="K6" s="203"/>
      <c r="L6" s="203"/>
      <c r="M6" s="203"/>
      <c r="N6" s="203"/>
      <c r="O6" s="203"/>
      <c r="P6" s="109"/>
      <c r="Q6" s="217">
        <v>0.1</v>
      </c>
      <c r="R6" s="232"/>
      <c r="S6" s="200">
        <f>S3*Q6</f>
        <v>2450</v>
      </c>
      <c r="T6" s="201"/>
      <c r="U6" s="201"/>
      <c r="V6" s="201"/>
      <c r="W6" s="201"/>
      <c r="X6" s="202"/>
      <c r="Y6" s="76"/>
      <c r="Z6" s="76"/>
      <c r="AA6" s="76">
        <v>4</v>
      </c>
      <c r="AB6" s="76" t="b">
        <f>IF(AB3=22,Оклады!G4,IF(AB3=23,Оклады!G5,IF(AB3=24,Оклады!G6,IF(AB3=25,Оклады!G7,IF(AB3=26,Оклады!G8,IF(AB3=27,Оклады!G9,IF(AB3=28,Оклады!G10,AB7)))))))</f>
        <v>0</v>
      </c>
      <c r="AC6" s="76" t="s">
        <v>28</v>
      </c>
      <c r="AD6" s="76"/>
      <c r="AE6" s="76"/>
      <c r="AF6" s="76"/>
      <c r="AG6" s="76"/>
      <c r="AH6" s="76"/>
      <c r="AI6" s="76"/>
      <c r="AJ6" s="76"/>
      <c r="AK6" s="76" t="s">
        <v>47</v>
      </c>
      <c r="AL6" s="76"/>
      <c r="AM6" s="76"/>
      <c r="AN6" s="76"/>
      <c r="AO6" s="76"/>
      <c r="AP6" s="76"/>
      <c r="AQ6" s="76"/>
      <c r="AR6" s="76" t="s">
        <v>53</v>
      </c>
      <c r="AS6" s="76"/>
      <c r="AT6" s="76"/>
      <c r="AU6" s="76"/>
      <c r="AV6" s="76"/>
      <c r="AW6" s="76"/>
      <c r="AX6" s="76"/>
      <c r="AY6" s="76" t="s">
        <v>57</v>
      </c>
      <c r="AZ6" s="76"/>
      <c r="BA6" s="76"/>
      <c r="BB6" s="76"/>
      <c r="BC6" s="76"/>
      <c r="BD6" s="76"/>
      <c r="BE6" s="76"/>
      <c r="BF6" s="79" t="s">
        <v>78</v>
      </c>
      <c r="BG6" s="76"/>
      <c r="BH6" s="76"/>
      <c r="BI6" s="76"/>
      <c r="BJ6" s="76"/>
      <c r="BK6" s="76"/>
      <c r="BL6" s="76"/>
      <c r="BM6" s="12"/>
      <c r="BN6" s="76"/>
      <c r="BO6" s="76"/>
      <c r="BP6" s="76"/>
      <c r="BQ6" s="76"/>
      <c r="BR6" s="76"/>
      <c r="BS6" s="76"/>
      <c r="BT6" s="12" t="s">
        <v>105</v>
      </c>
      <c r="BU6" s="76"/>
      <c r="BV6" s="76"/>
      <c r="BW6" s="76"/>
      <c r="BX6" s="76"/>
      <c r="BY6" s="76"/>
      <c r="BZ6" s="76"/>
      <c r="CA6" s="76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HH6" s="76"/>
      <c r="HI6" s="76"/>
      <c r="HJ6" s="76"/>
    </row>
    <row r="7" spans="1:218" s="77" customFormat="1" ht="15.75" customHeight="1" thickBot="1" thickTop="1">
      <c r="A7" s="73"/>
      <c r="B7" s="74"/>
      <c r="C7" s="185" t="s">
        <v>25</v>
      </c>
      <c r="D7" s="185"/>
      <c r="E7" s="185"/>
      <c r="F7" s="185"/>
      <c r="G7" s="185"/>
      <c r="H7" s="185"/>
      <c r="P7" s="78"/>
      <c r="Q7" s="217">
        <f>IF(AX3=1,0.25,IF(AX3=2,0.2,IF(AX3=3,0.1,IF(AX3=4,0))))</f>
        <v>0.2</v>
      </c>
      <c r="R7" s="218"/>
      <c r="S7" s="200">
        <f>S3*Q7</f>
        <v>4900</v>
      </c>
      <c r="T7" s="201"/>
      <c r="U7" s="201"/>
      <c r="V7" s="201"/>
      <c r="W7" s="201"/>
      <c r="X7" s="202"/>
      <c r="Y7" s="76"/>
      <c r="Z7" s="76"/>
      <c r="AA7" s="76">
        <v>5</v>
      </c>
      <c r="AB7" s="76" t="b">
        <f>IF(AB3=29,Оклады!G11,IF(AB3=30,Оклады!G12,IF(AB3=31,Оклады!I3,IF(AB3=32,Оклады!I4,IF(AB3=33,Оклады!I5,IF(AB3=34,Оклады!I6,IF(AB3=35,Оклады!I7,AB8)))))))</f>
        <v>0</v>
      </c>
      <c r="AC7" s="76" t="s">
        <v>29</v>
      </c>
      <c r="AD7" s="76"/>
      <c r="AE7" s="76"/>
      <c r="AF7" s="76"/>
      <c r="AG7" s="76"/>
      <c r="AH7" s="76"/>
      <c r="AI7" s="76"/>
      <c r="AJ7" s="76"/>
      <c r="AK7" s="76" t="s">
        <v>48</v>
      </c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 t="s">
        <v>58</v>
      </c>
      <c r="AZ7" s="76"/>
      <c r="BA7" s="76"/>
      <c r="BB7" s="76"/>
      <c r="BC7" s="76"/>
      <c r="BD7" s="76"/>
      <c r="BE7" s="76"/>
      <c r="BF7" s="79" t="s">
        <v>79</v>
      </c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HH7" s="76"/>
      <c r="HI7" s="76"/>
      <c r="HJ7" s="76"/>
    </row>
    <row r="8" spans="1:218" s="77" customFormat="1" ht="15.75" customHeight="1" thickBot="1" thickTop="1">
      <c r="A8" s="73"/>
      <c r="B8" s="74"/>
      <c r="C8" s="185" t="s">
        <v>98</v>
      </c>
      <c r="D8" s="185"/>
      <c r="E8" s="185"/>
      <c r="F8" s="185"/>
      <c r="G8" s="185"/>
      <c r="H8" s="185"/>
      <c r="I8" s="236"/>
      <c r="J8" s="236"/>
      <c r="K8" s="236"/>
      <c r="L8" s="236"/>
      <c r="M8" s="236"/>
      <c r="N8" s="236"/>
      <c r="O8" s="236"/>
      <c r="P8" s="78"/>
      <c r="Q8" s="228">
        <f>IF(BW3=1,1,IF(BW3=2,2,IF(BW3=3,4,IF(BW3=4,10))))</f>
        <v>1</v>
      </c>
      <c r="R8" s="229"/>
      <c r="S8" s="204">
        <f>S3*Q8</f>
        <v>24500</v>
      </c>
      <c r="T8" s="205"/>
      <c r="U8" s="205"/>
      <c r="V8" s="205"/>
      <c r="W8" s="205"/>
      <c r="X8" s="206"/>
      <c r="Y8" s="76"/>
      <c r="Z8" s="76"/>
      <c r="AA8" s="76">
        <v>6</v>
      </c>
      <c r="AB8" s="76" t="b">
        <f>IF(AB3=36,Оклады!I8,IF(AB3=37,Оклады!I9,IF(AB3=38,Оклады!I10,IF(AB3=39,Оклады!I11,IF(AB3=40,Оклады!I12,IF(AB3=41,Оклады!K3,IF(AB3=42,Оклады!K4,AB9)))))))</f>
        <v>0</v>
      </c>
      <c r="AC8" s="76" t="s">
        <v>30</v>
      </c>
      <c r="AD8" s="76"/>
      <c r="AE8" s="76"/>
      <c r="AF8" s="76"/>
      <c r="AG8" s="76"/>
      <c r="AH8" s="76"/>
      <c r="AI8" s="76"/>
      <c r="AJ8" s="76"/>
      <c r="AK8" s="76" t="s">
        <v>94</v>
      </c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 t="s">
        <v>59</v>
      </c>
      <c r="AZ8" s="76"/>
      <c r="BA8" s="76"/>
      <c r="BB8" s="76"/>
      <c r="BC8" s="76"/>
      <c r="BD8" s="76"/>
      <c r="BE8" s="76"/>
      <c r="BF8" s="79" t="s">
        <v>80</v>
      </c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HH8" s="76"/>
      <c r="HI8" s="76"/>
      <c r="HJ8" s="76"/>
    </row>
    <row r="9" spans="1:218" s="77" customFormat="1" ht="14.25" customHeight="1" thickBot="1" thickTop="1">
      <c r="A9" s="73"/>
      <c r="B9" s="74"/>
      <c r="C9" s="230" t="s">
        <v>92</v>
      </c>
      <c r="D9" s="230"/>
      <c r="E9" s="230"/>
      <c r="F9" s="230"/>
      <c r="G9" s="230"/>
      <c r="H9" s="231"/>
      <c r="I9" s="215" t="s">
        <v>73</v>
      </c>
      <c r="J9" s="215"/>
      <c r="K9" s="215"/>
      <c r="L9" s="215"/>
      <c r="M9" s="215"/>
      <c r="N9" s="215"/>
      <c r="O9" s="215"/>
      <c r="P9" s="216"/>
      <c r="Q9" s="213">
        <v>0.13</v>
      </c>
      <c r="R9" s="214"/>
      <c r="S9" s="207">
        <f>(S3+S4+S5+S6+S7+S8)*0.13</f>
        <v>10783.5</v>
      </c>
      <c r="T9" s="208"/>
      <c r="U9" s="208"/>
      <c r="V9" s="208"/>
      <c r="W9" s="208"/>
      <c r="X9" s="209"/>
      <c r="Y9" s="76"/>
      <c r="Z9" s="76"/>
      <c r="AA9" s="74">
        <v>7</v>
      </c>
      <c r="AB9" s="74" t="b">
        <f>IF(AB3=43,Оклады!K5,IF(AB3=44,Оклады!K6,IF(AB3=45,Оклады!K7,IF(AB3=46,Оклады!K8,IF(AB3=47,Оклады!K9,IF(AB3=48,Оклады!K10,IF(AB3=49,Оклады!K11,AB10)))))))</f>
        <v>0</v>
      </c>
      <c r="AC9" s="74" t="s">
        <v>31</v>
      </c>
      <c r="AD9" s="76"/>
      <c r="AE9" s="76"/>
      <c r="AF9" s="76"/>
      <c r="AG9" s="76"/>
      <c r="AH9" s="76"/>
      <c r="AI9" s="76"/>
      <c r="AJ9" s="76"/>
      <c r="AK9" s="76" t="s">
        <v>93</v>
      </c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4"/>
      <c r="AY9" s="74" t="s">
        <v>60</v>
      </c>
      <c r="AZ9" s="76"/>
      <c r="BA9" s="76"/>
      <c r="BB9" s="76"/>
      <c r="BC9" s="76"/>
      <c r="BD9" s="76"/>
      <c r="BE9" s="76"/>
      <c r="BF9" s="83" t="s">
        <v>81</v>
      </c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HH9" s="126"/>
      <c r="HI9" s="126"/>
      <c r="HJ9" s="76"/>
    </row>
    <row r="10" spans="1:218" ht="14.25" customHeight="1" hidden="1" thickTop="1">
      <c r="A10" s="73"/>
      <c r="B10" s="74"/>
      <c r="Y10" s="76"/>
      <c r="Z10" s="76"/>
      <c r="AA10" s="74">
        <v>8</v>
      </c>
      <c r="AB10" s="74" t="b">
        <f>IF(AB3=50,Оклады!K12,IF(AB3=51,Оклады!K13))</f>
        <v>0</v>
      </c>
      <c r="AC10" s="74" t="s">
        <v>32</v>
      </c>
      <c r="AD10" s="74"/>
      <c r="AE10" s="74"/>
      <c r="AF10" s="74"/>
      <c r="AG10" s="74"/>
      <c r="AH10" s="74"/>
      <c r="AI10" s="74"/>
      <c r="AJ10" s="74"/>
      <c r="AK10" s="74" t="s">
        <v>49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 t="s">
        <v>61</v>
      </c>
      <c r="AZ10" s="74"/>
      <c r="BA10" s="74"/>
      <c r="BB10" s="74"/>
      <c r="BC10" s="74"/>
      <c r="BD10" s="74"/>
      <c r="BE10" s="74"/>
      <c r="BF10" s="83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HH10" s="74"/>
      <c r="HI10" s="74"/>
      <c r="HJ10" s="74"/>
    </row>
    <row r="11" spans="1:218" ht="14.25" customHeight="1" hidden="1">
      <c r="A11" s="73"/>
      <c r="B11" s="74"/>
      <c r="Y11" s="74"/>
      <c r="Z11" s="74"/>
      <c r="AA11" s="74">
        <v>9</v>
      </c>
      <c r="AB11" s="74"/>
      <c r="AC11" s="74" t="s">
        <v>33</v>
      </c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 t="s">
        <v>62</v>
      </c>
      <c r="AZ11" s="74"/>
      <c r="BA11" s="74"/>
      <c r="BB11" s="74"/>
      <c r="BC11" s="74"/>
      <c r="BD11" s="74"/>
      <c r="BE11" s="74"/>
      <c r="BF11" s="83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HH11" s="74"/>
      <c r="HI11" s="74"/>
      <c r="HJ11" s="74"/>
    </row>
    <row r="12" spans="1:218" ht="14.25" customHeight="1" hidden="1">
      <c r="A12" s="73"/>
      <c r="B12" s="74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Y12" s="74"/>
      <c r="Z12" s="74"/>
      <c r="AA12" s="74">
        <v>10</v>
      </c>
      <c r="AB12" s="74"/>
      <c r="AC12" s="74" t="s">
        <v>34</v>
      </c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 t="s">
        <v>63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HH12" s="74"/>
      <c r="HI12" s="74"/>
      <c r="HJ12" s="74"/>
    </row>
    <row r="13" spans="1:218" ht="15" customHeight="1" thickTop="1">
      <c r="A13" s="73"/>
      <c r="B13" s="74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2"/>
      <c r="N13" s="243"/>
      <c r="O13" s="243"/>
      <c r="P13" s="243"/>
      <c r="Q13" s="243"/>
      <c r="R13" s="243"/>
      <c r="S13" s="85"/>
      <c r="T13" s="85"/>
      <c r="U13" s="85"/>
      <c r="V13" s="85"/>
      <c r="W13" s="85"/>
      <c r="X13" s="85"/>
      <c r="Y13" s="74"/>
      <c r="Z13" s="74"/>
      <c r="AA13" s="74">
        <v>11</v>
      </c>
      <c r="AB13" s="74"/>
      <c r="AC13" s="74" t="s">
        <v>35</v>
      </c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 t="s">
        <v>64</v>
      </c>
      <c r="AZ13" s="74"/>
      <c r="BA13" s="74"/>
      <c r="BB13" s="74"/>
      <c r="BC13" s="74"/>
      <c r="BD13" s="74"/>
      <c r="BE13" s="74"/>
      <c r="BF13" s="83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HH13" s="74"/>
      <c r="HI13" s="74"/>
      <c r="HJ13" s="74"/>
    </row>
    <row r="14" spans="1:218" ht="17.25" customHeight="1">
      <c r="A14" s="73"/>
      <c r="B14" s="7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74"/>
      <c r="Z14" s="74"/>
      <c r="AA14" s="74">
        <v>12</v>
      </c>
      <c r="AB14" s="74"/>
      <c r="AC14" s="74" t="s">
        <v>36</v>
      </c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 t="s">
        <v>65</v>
      </c>
      <c r="AZ14" s="74"/>
      <c r="BA14" s="74"/>
      <c r="BB14" s="74"/>
      <c r="BC14" s="74"/>
      <c r="BD14" s="74"/>
      <c r="BE14" s="74"/>
      <c r="BF14" s="83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HH14" s="74"/>
      <c r="HI14" s="74"/>
      <c r="HJ14" s="74"/>
    </row>
    <row r="15" spans="1:218" ht="17.25" customHeight="1">
      <c r="A15" s="73"/>
      <c r="B15" s="7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4"/>
      <c r="Z15" s="74"/>
      <c r="AA15" s="87">
        <v>13</v>
      </c>
      <c r="AB15" s="87"/>
      <c r="AC15" s="87" t="s">
        <v>37</v>
      </c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87"/>
      <c r="AY15" s="87" t="s">
        <v>66</v>
      </c>
      <c r="AZ15" s="74"/>
      <c r="BA15" s="74"/>
      <c r="BB15" s="74"/>
      <c r="BC15" s="74"/>
      <c r="BD15" s="74"/>
      <c r="BE15" s="74"/>
      <c r="BF15" s="88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HH15" s="74"/>
      <c r="HI15" s="74"/>
      <c r="HJ15" s="74"/>
    </row>
    <row r="16" spans="1:218" s="90" customFormat="1" ht="12.75" customHeight="1">
      <c r="A16" s="73"/>
      <c r="B16" s="74"/>
      <c r="C16" s="85"/>
      <c r="D16" s="85"/>
      <c r="E16" s="85"/>
      <c r="F16" s="85"/>
      <c r="G16" s="85"/>
      <c r="H16" s="85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74"/>
      <c r="Z16" s="74"/>
      <c r="AA16" s="87">
        <v>14</v>
      </c>
      <c r="AB16" s="87"/>
      <c r="AC16" s="87" t="s">
        <v>38</v>
      </c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 t="s">
        <v>71</v>
      </c>
      <c r="AZ16" s="87"/>
      <c r="BA16" s="87"/>
      <c r="BB16" s="87"/>
      <c r="BC16" s="87"/>
      <c r="BD16" s="87"/>
      <c r="BE16" s="87"/>
      <c r="BF16" s="88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114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HH16" s="87"/>
      <c r="HI16" s="87"/>
      <c r="HJ16" s="87"/>
    </row>
    <row r="17" spans="1:218" s="90" customFormat="1" ht="15.75" customHeight="1">
      <c r="A17" s="73"/>
      <c r="B17" s="74"/>
      <c r="C17" s="85"/>
      <c r="D17" s="85"/>
      <c r="E17" s="85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86"/>
      <c r="Y17" s="87"/>
      <c r="Z17" s="87"/>
      <c r="AA17" s="87">
        <v>15</v>
      </c>
      <c r="AB17" s="87"/>
      <c r="AC17" s="87" t="s">
        <v>39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HH17" s="87"/>
      <c r="HI17" s="87"/>
      <c r="HJ17" s="87"/>
    </row>
    <row r="18" spans="1:218" s="90" customFormat="1" ht="12.75" customHeight="1">
      <c r="A18" s="73"/>
      <c r="B18" s="74"/>
      <c r="C18" s="85"/>
      <c r="D18" s="85"/>
      <c r="E18" s="91"/>
      <c r="F18" s="91"/>
      <c r="G18" s="91"/>
      <c r="H18" s="92"/>
      <c r="I18" s="86"/>
      <c r="J18" s="86"/>
      <c r="K18" s="86"/>
      <c r="L18" s="86"/>
      <c r="M18" s="86"/>
      <c r="N18" s="86"/>
      <c r="O18" s="86"/>
      <c r="P18" s="91"/>
      <c r="Q18" s="91"/>
      <c r="R18" s="91"/>
      <c r="S18" s="91"/>
      <c r="T18" s="91"/>
      <c r="U18" s="91"/>
      <c r="V18" s="91"/>
      <c r="W18" s="91"/>
      <c r="X18" s="86"/>
      <c r="Y18" s="87"/>
      <c r="Z18" s="87"/>
      <c r="AA18" s="87">
        <v>16</v>
      </c>
      <c r="AB18" s="87"/>
      <c r="AC18" s="87" t="s">
        <v>40</v>
      </c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93">
        <f>S3+S4+S5</f>
        <v>51100</v>
      </c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HH18" s="87"/>
      <c r="HI18" s="87"/>
      <c r="HJ18" s="87"/>
    </row>
    <row r="19" spans="1:218" s="90" customFormat="1" ht="12.75" customHeight="1">
      <c r="A19" s="73"/>
      <c r="B19" s="74"/>
      <c r="C19" s="85"/>
      <c r="D19" s="85"/>
      <c r="E19" s="85"/>
      <c r="F19" s="85"/>
      <c r="G19" s="85"/>
      <c r="H19" s="237">
        <f>(S3+S4+S5+S6+S7+S8)*0.87</f>
        <v>72166.5</v>
      </c>
      <c r="I19" s="237"/>
      <c r="J19" s="237"/>
      <c r="K19" s="237"/>
      <c r="L19" s="237"/>
      <c r="M19" s="237"/>
      <c r="N19" s="237"/>
      <c r="O19" s="237"/>
      <c r="P19" s="237"/>
      <c r="Q19" s="86"/>
      <c r="R19" s="86"/>
      <c r="S19" s="86"/>
      <c r="T19" s="86"/>
      <c r="U19" s="86"/>
      <c r="V19" s="86"/>
      <c r="W19" s="86"/>
      <c r="X19" s="86"/>
      <c r="Y19" s="87"/>
      <c r="Z19" s="87"/>
      <c r="AA19" s="95">
        <v>17</v>
      </c>
      <c r="AB19" s="95"/>
      <c r="AC19" s="95" t="s">
        <v>41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95"/>
      <c r="AY19" s="95"/>
      <c r="AZ19" s="87"/>
      <c r="BA19" s="87"/>
      <c r="BB19" s="87"/>
      <c r="BC19" s="87"/>
      <c r="BD19" s="87"/>
      <c r="BE19" s="87"/>
      <c r="BF19" s="95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HH19" s="87"/>
      <c r="HI19" s="87"/>
      <c r="HJ19" s="87"/>
    </row>
    <row r="20" spans="1:218" s="97" customFormat="1" ht="12.75" customHeight="1">
      <c r="A20" s="73"/>
      <c r="B20" s="74"/>
      <c r="C20" s="85"/>
      <c r="D20" s="85"/>
      <c r="E20" s="85"/>
      <c r="F20" s="85"/>
      <c r="G20" s="85"/>
      <c r="H20" s="237"/>
      <c r="I20" s="237"/>
      <c r="J20" s="237"/>
      <c r="K20" s="237"/>
      <c r="L20" s="237"/>
      <c r="M20" s="237"/>
      <c r="N20" s="237"/>
      <c r="O20" s="237"/>
      <c r="P20" s="237"/>
      <c r="Q20" s="94"/>
      <c r="R20" s="94"/>
      <c r="S20" s="94"/>
      <c r="T20" s="94"/>
      <c r="U20" s="94"/>
      <c r="V20" s="94"/>
      <c r="W20" s="94"/>
      <c r="X20" s="94"/>
      <c r="Y20" s="87"/>
      <c r="Z20" s="87"/>
      <c r="AA20" s="95">
        <v>18</v>
      </c>
      <c r="AB20" s="95"/>
      <c r="AC20" s="95" t="s">
        <v>42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HH20" s="95"/>
      <c r="HI20" s="95"/>
      <c r="HJ20" s="95"/>
    </row>
    <row r="21" spans="1:218" s="97" customFormat="1" ht="16.5" customHeight="1">
      <c r="A21" s="73"/>
      <c r="B21" s="74"/>
      <c r="C21" s="85"/>
      <c r="D21" s="85"/>
      <c r="E21" s="85"/>
      <c r="F21" s="85"/>
      <c r="G21" s="85"/>
      <c r="H21" s="237"/>
      <c r="I21" s="237"/>
      <c r="J21" s="237"/>
      <c r="K21" s="237"/>
      <c r="L21" s="237"/>
      <c r="M21" s="237"/>
      <c r="N21" s="237"/>
      <c r="O21" s="237"/>
      <c r="P21" s="237"/>
      <c r="Q21" s="94"/>
      <c r="R21" s="94"/>
      <c r="S21" s="94"/>
      <c r="T21" s="94"/>
      <c r="U21" s="94"/>
      <c r="V21" s="94"/>
      <c r="W21" s="94"/>
      <c r="X21" s="94"/>
      <c r="Y21" s="95"/>
      <c r="Z21" s="95"/>
      <c r="AA21" s="74">
        <v>19</v>
      </c>
      <c r="AB21" s="74"/>
      <c r="AC21" s="74" t="s">
        <v>43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74"/>
      <c r="AY21" s="74"/>
      <c r="AZ21" s="95"/>
      <c r="BA21" s="95"/>
      <c r="BB21" s="95"/>
      <c r="BC21" s="95"/>
      <c r="BD21" s="95"/>
      <c r="BE21" s="95"/>
      <c r="BF21" s="74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HH21" s="95"/>
      <c r="HI21" s="95"/>
      <c r="HJ21" s="95"/>
    </row>
    <row r="22" spans="1:218" ht="12.75">
      <c r="A22" s="73"/>
      <c r="B22" s="7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95"/>
      <c r="Z22" s="95"/>
      <c r="AA22" s="74">
        <v>20</v>
      </c>
      <c r="AB22" s="74"/>
      <c r="AC22" s="74" t="s">
        <v>19</v>
      </c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HH22" s="74"/>
      <c r="HI22" s="74"/>
      <c r="HJ22" s="74"/>
    </row>
    <row r="23" spans="1:218" ht="12.75" customHeight="1" thickBot="1">
      <c r="A23" s="73"/>
      <c r="B23" s="7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74"/>
      <c r="Z23" s="74"/>
      <c r="AA23" s="76">
        <v>21</v>
      </c>
      <c r="AB23" s="76"/>
      <c r="AC23" s="76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6"/>
      <c r="AY23" s="76"/>
      <c r="AZ23" s="74"/>
      <c r="BA23" s="74"/>
      <c r="BB23" s="74"/>
      <c r="BC23" s="74"/>
      <c r="BD23" s="74"/>
      <c r="BE23" s="74"/>
      <c r="BF23" s="76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HH23" s="74"/>
      <c r="HI23" s="74"/>
      <c r="HJ23" s="74"/>
    </row>
    <row r="24" spans="1:218" s="77" customFormat="1" ht="17.25" thickBot="1" thickTop="1">
      <c r="A24" s="73"/>
      <c r="B24" s="74"/>
      <c r="C24" s="238" t="s">
        <v>68</v>
      </c>
      <c r="D24" s="239"/>
      <c r="E24" s="239"/>
      <c r="F24" s="239"/>
      <c r="G24" s="239"/>
      <c r="H24" s="239"/>
      <c r="I24" s="239"/>
      <c r="J24" s="239"/>
      <c r="K24" s="239"/>
      <c r="L24" s="240"/>
      <c r="M24" s="182">
        <f>(S3+S4)*3*0.87</f>
        <v>95265</v>
      </c>
      <c r="N24" s="183"/>
      <c r="O24" s="183"/>
      <c r="P24" s="183"/>
      <c r="Q24" s="183"/>
      <c r="R24" s="184"/>
      <c r="S24" s="98"/>
      <c r="T24" s="98"/>
      <c r="U24" s="98"/>
      <c r="V24" s="98"/>
      <c r="W24" s="98"/>
      <c r="X24" s="98"/>
      <c r="Y24" s="74"/>
      <c r="Z24" s="74"/>
      <c r="AA24" s="76">
        <v>22</v>
      </c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HH24" s="76"/>
      <c r="HI24" s="76"/>
      <c r="HJ24" s="76"/>
    </row>
    <row r="25" spans="1:218" s="77" customFormat="1" ht="18.75" thickBot="1">
      <c r="A25" s="73"/>
      <c r="B25" s="74"/>
      <c r="C25" s="191" t="s">
        <v>99</v>
      </c>
      <c r="D25" s="192"/>
      <c r="E25" s="192"/>
      <c r="F25" s="192"/>
      <c r="G25" s="192"/>
      <c r="H25" s="192"/>
      <c r="I25" s="192"/>
      <c r="J25" s="192"/>
      <c r="K25" s="192"/>
      <c r="L25" s="193"/>
      <c r="M25" s="210">
        <f>(S3+S4)*75%*0.87+H19</f>
        <v>95982.75</v>
      </c>
      <c r="N25" s="211"/>
      <c r="O25" s="211"/>
      <c r="P25" s="211"/>
      <c r="Q25" s="211"/>
      <c r="R25" s="212"/>
      <c r="S25" s="98"/>
      <c r="T25" s="98"/>
      <c r="U25" s="98"/>
      <c r="V25" s="98"/>
      <c r="W25" s="98"/>
      <c r="X25" s="98"/>
      <c r="Y25" s="76"/>
      <c r="Z25" s="76"/>
      <c r="AA25" s="76">
        <v>23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HH25" s="76"/>
      <c r="HI25" s="76"/>
      <c r="HJ25" s="76"/>
    </row>
    <row r="26" spans="1:218" s="77" customFormat="1" ht="16.5" thickBot="1">
      <c r="A26" s="73"/>
      <c r="B26" s="74"/>
      <c r="C26" s="233" t="s">
        <v>69</v>
      </c>
      <c r="D26" s="234"/>
      <c r="E26" s="234"/>
      <c r="F26" s="234"/>
      <c r="G26" s="234"/>
      <c r="H26" s="234"/>
      <c r="I26" s="234"/>
      <c r="J26" s="234"/>
      <c r="K26" s="234"/>
      <c r="L26" s="235"/>
      <c r="M26" s="182">
        <f>S3*2*0.87</f>
        <v>42630</v>
      </c>
      <c r="N26" s="183"/>
      <c r="O26" s="183"/>
      <c r="P26" s="183"/>
      <c r="Q26" s="183"/>
      <c r="R26" s="184"/>
      <c r="S26" s="98"/>
      <c r="T26" s="98"/>
      <c r="U26" s="98" t="s">
        <v>67</v>
      </c>
      <c r="V26" s="98"/>
      <c r="W26" s="98"/>
      <c r="X26" s="98"/>
      <c r="Y26" s="76"/>
      <c r="Z26" s="76"/>
      <c r="AA26" s="76">
        <v>24</v>
      </c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HH26" s="76"/>
      <c r="HI26" s="76"/>
      <c r="HJ26" s="76"/>
    </row>
    <row r="27" spans="1:218" s="77" customFormat="1" ht="16.5" thickBot="1">
      <c r="A27" s="73"/>
      <c r="B27" s="74"/>
      <c r="C27" s="194" t="s">
        <v>91</v>
      </c>
      <c r="D27" s="195"/>
      <c r="E27" s="195"/>
      <c r="F27" s="195"/>
      <c r="G27" s="195"/>
      <c r="H27" s="106"/>
      <c r="I27" s="107"/>
      <c r="J27" s="107"/>
      <c r="K27" s="107"/>
      <c r="L27" s="108"/>
      <c r="M27" s="182">
        <f>IF(BK4=1,Оклады!L27*6,IF(BK4=2,Оклады!L27*9,IF(BK4=3,Оклады!L27*12,IF(BK4=4,Оклады!L27*15,IF(BK4=5,Оклады!L27*18,IF(BK4=6,Оклады!L27*21))))))</f>
        <v>1200</v>
      </c>
      <c r="N27" s="183"/>
      <c r="O27" s="183"/>
      <c r="P27" s="183"/>
      <c r="Q27" s="183"/>
      <c r="R27" s="184"/>
      <c r="S27" s="98"/>
      <c r="T27" s="98"/>
      <c r="U27" s="98"/>
      <c r="V27" s="98"/>
      <c r="W27" s="98"/>
      <c r="X27" s="98"/>
      <c r="Y27" s="76"/>
      <c r="Z27" s="76"/>
      <c r="AA27" s="76">
        <v>25</v>
      </c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HH27" s="76"/>
      <c r="HI27" s="76"/>
      <c r="HJ27" s="76"/>
    </row>
    <row r="28" spans="1:134" s="76" customFormat="1" ht="13.5" hidden="1" thickTop="1">
      <c r="A28" s="73"/>
      <c r="B28" s="74"/>
      <c r="S28" s="98"/>
      <c r="T28" s="98"/>
      <c r="U28" s="98"/>
      <c r="V28" s="98"/>
      <c r="W28" s="98"/>
      <c r="X28" s="98"/>
      <c r="AA28" s="100">
        <v>26</v>
      </c>
      <c r="AB28" s="100"/>
      <c r="AC28" s="100"/>
      <c r="AX28" s="100"/>
      <c r="AY28" s="100"/>
      <c r="BF28" s="10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</row>
    <row r="29" spans="1:134" s="100" customFormat="1" ht="15.75" customHeight="1" thickTop="1">
      <c r="A29" s="73"/>
      <c r="B29" s="74"/>
      <c r="C29" s="190"/>
      <c r="D29" s="190"/>
      <c r="E29" s="190"/>
      <c r="F29" s="190"/>
      <c r="G29" s="190"/>
      <c r="H29" s="190"/>
      <c r="I29" s="9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76"/>
      <c r="Z29" s="76"/>
      <c r="AA29" s="103">
        <v>27</v>
      </c>
      <c r="AB29" s="103"/>
      <c r="BF29" s="103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</row>
    <row r="30" spans="1:218" s="102" customFormat="1" ht="18.75" customHeight="1">
      <c r="A30" s="73"/>
      <c r="B30" s="74"/>
      <c r="C30" s="226" t="s">
        <v>72</v>
      </c>
      <c r="D30" s="226"/>
      <c r="E30" s="226"/>
      <c r="F30" s="226"/>
      <c r="G30" s="226"/>
      <c r="H30" s="226"/>
      <c r="I30" s="225" t="s">
        <v>73</v>
      </c>
      <c r="J30" s="225"/>
      <c r="K30" s="225"/>
      <c r="L30" s="225"/>
      <c r="M30" s="225"/>
      <c r="N30" s="225"/>
      <c r="O30" s="225"/>
      <c r="P30" s="227">
        <f>(IF(BD3=1,0,IF(BD3=2,0.5,IF(BD3=3,0.53,IF(BD3=4,0.56,IF(BD3=5,0.59,IF(BD3=6,0.62,IF(BD3=7,0.65,BD5))))))))*0.54</f>
        <v>0.459</v>
      </c>
      <c r="Q30" s="227"/>
      <c r="R30" s="199">
        <f>IF(P30=0,"Молод еще",IF(P30&gt;0,AY18*P30))</f>
        <v>23454.9</v>
      </c>
      <c r="S30" s="199"/>
      <c r="T30" s="199"/>
      <c r="U30" s="199"/>
      <c r="V30" s="199"/>
      <c r="W30" s="199"/>
      <c r="X30" s="199"/>
      <c r="Y30" s="100"/>
      <c r="Z30" s="100"/>
      <c r="AA30" s="100">
        <v>28</v>
      </c>
      <c r="AB30" s="100"/>
      <c r="AC30" s="74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74"/>
      <c r="AY30" s="74"/>
      <c r="AZ30" s="100"/>
      <c r="BA30" s="100"/>
      <c r="BB30" s="100"/>
      <c r="BC30" s="100"/>
      <c r="BD30" s="100"/>
      <c r="BE30" s="100"/>
      <c r="BF30" s="100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HH30" s="103"/>
      <c r="HI30" s="103"/>
      <c r="HJ30" s="103"/>
    </row>
    <row r="31" spans="1:218" s="105" customFormat="1" ht="12.75" customHeight="1">
      <c r="A31" s="73"/>
      <c r="B31" s="74"/>
      <c r="C31" s="74"/>
      <c r="D31" s="74"/>
      <c r="E31" s="74"/>
      <c r="F31" s="74"/>
      <c r="G31" s="74"/>
      <c r="H31" s="7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25"/>
      <c r="Z31" s="103"/>
      <c r="AA31" s="74">
        <v>29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HH31" s="100"/>
      <c r="HI31" s="100"/>
      <c r="HJ31" s="100"/>
    </row>
    <row r="32" spans="1:218" ht="18" customHeight="1">
      <c r="A32" s="73"/>
      <c r="B32" s="74"/>
      <c r="C32" s="223" t="s">
        <v>95</v>
      </c>
      <c r="D32" s="224"/>
      <c r="E32" s="224"/>
      <c r="F32" s="186">
        <f>H19*8+M24+M25*4+M26+M27</f>
        <v>1100358</v>
      </c>
      <c r="G32" s="188"/>
      <c r="H32" s="223" t="s">
        <v>96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186">
        <f>F32/12</f>
        <v>91696.5</v>
      </c>
      <c r="S32" s="187"/>
      <c r="T32" s="187"/>
      <c r="U32" s="187"/>
      <c r="V32" s="187"/>
      <c r="W32" s="188"/>
      <c r="X32" s="74"/>
      <c r="Y32" s="100"/>
      <c r="Z32" s="100"/>
      <c r="AA32" s="74">
        <v>30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HH32" s="74"/>
      <c r="HI32" s="74"/>
      <c r="HJ32" s="74"/>
    </row>
    <row r="33" spans="1:218" ht="12.75">
      <c r="A33" s="73"/>
      <c r="B33" s="74"/>
      <c r="C33" s="74"/>
      <c r="D33" s="74"/>
      <c r="E33" s="74"/>
      <c r="F33" s="74"/>
      <c r="G33" s="115"/>
      <c r="H33" s="116"/>
      <c r="I33" s="74"/>
      <c r="J33" s="74"/>
      <c r="K33" s="196"/>
      <c r="L33" s="196"/>
      <c r="M33" s="196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>
        <v>31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HH33" s="74"/>
      <c r="HI33" s="74"/>
      <c r="HJ33" s="74"/>
    </row>
    <row r="34" spans="1:218" ht="12.75">
      <c r="A34" s="73"/>
      <c r="B34" s="74"/>
      <c r="C34" s="74"/>
      <c r="D34" s="74"/>
      <c r="E34" s="74"/>
      <c r="F34" s="74"/>
      <c r="G34" s="74"/>
      <c r="H34" s="116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>
        <v>32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HH34" s="74"/>
      <c r="HI34" s="74"/>
      <c r="HJ34" s="74"/>
    </row>
    <row r="35" spans="1:218" ht="12.75">
      <c r="A35" s="73"/>
      <c r="B35" s="74"/>
      <c r="C35" s="74"/>
      <c r="D35" s="74"/>
      <c r="E35" s="74"/>
      <c r="F35" s="74"/>
      <c r="G35" s="115"/>
      <c r="H35" s="116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>
        <v>33</v>
      </c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HH35" s="74"/>
      <c r="HI35" s="74"/>
      <c r="HJ35" s="74"/>
    </row>
    <row r="36" spans="1:218" ht="12.75">
      <c r="A36" s="73"/>
      <c r="B36" s="74"/>
      <c r="C36" s="74"/>
      <c r="D36" s="74"/>
      <c r="E36" s="74"/>
      <c r="F36" s="74"/>
      <c r="G36" s="74"/>
      <c r="H36" s="116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>
        <v>34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HH36" s="74"/>
      <c r="HI36" s="74"/>
      <c r="HJ36" s="74"/>
    </row>
    <row r="37" spans="1:218" ht="12.75">
      <c r="A37" s="73"/>
      <c r="B37" s="74"/>
      <c r="C37" s="74"/>
      <c r="D37" s="74"/>
      <c r="E37" s="74"/>
      <c r="F37" s="118"/>
      <c r="G37" s="74"/>
      <c r="H37" s="117"/>
      <c r="I37" s="74"/>
      <c r="J37" s="197"/>
      <c r="K37" s="198"/>
      <c r="L37" s="198"/>
      <c r="M37" s="189"/>
      <c r="N37" s="189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>
        <v>35</v>
      </c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HH37" s="74"/>
      <c r="HI37" s="74"/>
      <c r="HJ37" s="74"/>
    </row>
    <row r="38" spans="1:218" ht="12.75">
      <c r="A38" s="73"/>
      <c r="B38" s="74"/>
      <c r="C38" s="74"/>
      <c r="D38" s="74"/>
      <c r="E38" s="74"/>
      <c r="F38" s="74"/>
      <c r="G38" s="74"/>
      <c r="H38" s="116"/>
      <c r="I38" s="189"/>
      <c r="J38" s="189"/>
      <c r="K38" s="189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>
        <v>36</v>
      </c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HH38" s="74"/>
      <c r="HI38" s="74"/>
      <c r="HJ38" s="74"/>
    </row>
    <row r="39" spans="1:218" ht="12.7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>
        <v>37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HH39" s="74"/>
      <c r="HI39" s="74"/>
      <c r="HJ39" s="74"/>
    </row>
    <row r="40" spans="1:218" ht="12.75">
      <c r="A40" s="111"/>
      <c r="B40" s="112"/>
      <c r="C40" s="11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>
        <v>38</v>
      </c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HH40" s="74"/>
      <c r="HI40" s="74"/>
      <c r="HJ40" s="74"/>
    </row>
    <row r="41" spans="1:218" ht="12.75">
      <c r="A41" s="111"/>
      <c r="B41" s="112"/>
      <c r="C41" s="11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>
        <v>39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HH41" s="74"/>
      <c r="HI41" s="74"/>
      <c r="HJ41" s="74"/>
    </row>
    <row r="42" spans="1:218" ht="12.75">
      <c r="A42" s="111"/>
      <c r="B42" s="112"/>
      <c r="C42" s="11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>
        <v>40</v>
      </c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HH42" s="74"/>
      <c r="HI42" s="74"/>
      <c r="HJ42" s="74"/>
    </row>
    <row r="43" spans="1:218" ht="12.75">
      <c r="A43" s="111"/>
      <c r="B43" s="112"/>
      <c r="C43" s="11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>
        <v>41</v>
      </c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HH43" s="74"/>
      <c r="HI43" s="74"/>
      <c r="HJ43" s="74"/>
    </row>
    <row r="44" spans="1:218" ht="12.75">
      <c r="A44" s="111"/>
      <c r="B44" s="112"/>
      <c r="C44" s="11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>
        <v>42</v>
      </c>
      <c r="AB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HH44" s="74"/>
      <c r="HI44" s="74"/>
      <c r="HJ44" s="74"/>
    </row>
    <row r="45" spans="1:218" ht="12.75">
      <c r="A45" s="111"/>
      <c r="B45" s="112"/>
      <c r="C45" s="11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82">
        <v>43</v>
      </c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HH45" s="74"/>
      <c r="HI45" s="74"/>
      <c r="HJ45" s="74"/>
    </row>
    <row r="46" spans="25:27" ht="12.75">
      <c r="Y46" s="74"/>
      <c r="Z46" s="74"/>
      <c r="AA46" s="82">
        <v>44</v>
      </c>
    </row>
    <row r="47" ht="12.75">
      <c r="AA47" s="82">
        <v>45</v>
      </c>
    </row>
    <row r="48" ht="12.75">
      <c r="AA48" s="82">
        <v>46</v>
      </c>
    </row>
    <row r="49" ht="12.75">
      <c r="AA49" s="82">
        <v>47</v>
      </c>
    </row>
    <row r="50" ht="12.75">
      <c r="AA50" s="82">
        <v>48</v>
      </c>
    </row>
    <row r="51" ht="12.75">
      <c r="AA51" s="82">
        <v>49</v>
      </c>
    </row>
    <row r="52" ht="12.75">
      <c r="AA52" s="82">
        <v>50</v>
      </c>
    </row>
    <row r="53" ht="12.75">
      <c r="AA53" s="82">
        <v>51</v>
      </c>
    </row>
  </sheetData>
  <sheetProtection/>
  <mergeCells count="47">
    <mergeCell ref="C6:H6"/>
    <mergeCell ref="Q6:R6"/>
    <mergeCell ref="C26:L26"/>
    <mergeCell ref="I8:O8"/>
    <mergeCell ref="Q7:R7"/>
    <mergeCell ref="H19:P21"/>
    <mergeCell ref="M24:R24"/>
    <mergeCell ref="C24:L24"/>
    <mergeCell ref="C13:L13"/>
    <mergeCell ref="M13:R13"/>
    <mergeCell ref="C7:H7"/>
    <mergeCell ref="C8:H8"/>
    <mergeCell ref="Q8:R8"/>
    <mergeCell ref="C9:H9"/>
    <mergeCell ref="C32:E32"/>
    <mergeCell ref="F32:G32"/>
    <mergeCell ref="H32:Q32"/>
    <mergeCell ref="I30:O30"/>
    <mergeCell ref="C30:H30"/>
    <mergeCell ref="P30:Q30"/>
    <mergeCell ref="C3:H3"/>
    <mergeCell ref="S5:X5"/>
    <mergeCell ref="S3:X3"/>
    <mergeCell ref="Q5:R5"/>
    <mergeCell ref="I3:N3"/>
    <mergeCell ref="S4:X4"/>
    <mergeCell ref="C4:H4"/>
    <mergeCell ref="R30:X30"/>
    <mergeCell ref="S6:X6"/>
    <mergeCell ref="I6:O6"/>
    <mergeCell ref="S8:X8"/>
    <mergeCell ref="S9:X9"/>
    <mergeCell ref="M25:R25"/>
    <mergeCell ref="M26:R26"/>
    <mergeCell ref="Q9:R9"/>
    <mergeCell ref="I9:P9"/>
    <mergeCell ref="S7:X7"/>
    <mergeCell ref="M27:R27"/>
    <mergeCell ref="C5:H5"/>
    <mergeCell ref="R32:W32"/>
    <mergeCell ref="I38:K38"/>
    <mergeCell ref="C29:H29"/>
    <mergeCell ref="C25:L25"/>
    <mergeCell ref="C27:G27"/>
    <mergeCell ref="K33:M33"/>
    <mergeCell ref="J37:L37"/>
    <mergeCell ref="M37:N37"/>
  </mergeCells>
  <printOptions/>
  <pageMargins left="0.3937007874015748" right="0.3937007874015748" top="0.5905511811023623" bottom="0.5905511811023623" header="0.5118110236220472" footer="0.5118110236220472"/>
  <pageSetup horizontalDpi="120" verticalDpi="120" orientation="landscape" paperSize="9" scale="8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44"/>
  <sheetViews>
    <sheetView view="pageBreakPreview" zoomScale="89" zoomScaleNormal="83" zoomScaleSheetLayoutView="89" zoomScalePageLayoutView="0" workbookViewId="0" topLeftCell="A1">
      <selection activeCell="CK26" sqref="CK26"/>
    </sheetView>
  </sheetViews>
  <sheetFormatPr defaultColWidth="9.00390625" defaultRowHeight="12.75"/>
  <cols>
    <col min="1" max="1" width="5.75390625" style="12" customWidth="1"/>
    <col min="2" max="2" width="2.25390625" style="0" customWidth="1"/>
    <col min="9" max="15" width="2.75390625" style="0" customWidth="1"/>
    <col min="16" max="16" width="9.875" style="0" customWidth="1"/>
    <col min="17" max="17" width="3.625" style="0" customWidth="1"/>
    <col min="18" max="18" width="3.75390625" style="0" customWidth="1"/>
    <col min="19" max="23" width="2.75390625" style="0" customWidth="1"/>
    <col min="24" max="24" width="3.75390625" style="0" customWidth="1"/>
    <col min="25" max="26" width="2.75390625" style="0" customWidth="1"/>
    <col min="27" max="65" width="2.75390625" style="0" hidden="1" customWidth="1"/>
    <col min="66" max="215" width="2.75390625" style="0" customWidth="1"/>
  </cols>
  <sheetData>
    <row r="1" spans="1:79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</row>
    <row r="2" spans="1:79" ht="13.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</row>
    <row r="3" spans="2:79" ht="17.25" thickBot="1" thickTop="1">
      <c r="B3" s="12"/>
      <c r="C3" s="267" t="s">
        <v>23</v>
      </c>
      <c r="D3" s="268"/>
      <c r="E3" s="268"/>
      <c r="F3" s="268"/>
      <c r="G3" s="268"/>
      <c r="H3" s="268"/>
      <c r="I3" s="219" t="s">
        <v>26</v>
      </c>
      <c r="J3" s="219"/>
      <c r="K3" s="219"/>
      <c r="L3" s="219"/>
      <c r="M3" s="219"/>
      <c r="N3" s="219"/>
      <c r="O3" s="19"/>
      <c r="P3" s="19"/>
      <c r="Q3" s="19"/>
      <c r="R3" s="20"/>
      <c r="S3" s="264">
        <f>IF(AB3=1,Оклады!C16,IF(AB3=2,Оклады!C17,IF(AB3=3,Оклады!E16,IF(AB3=4,Оклады!E17,IF(AB3=5,Оклады!G16,IF(AB3=6,Оклады!G17,IF(AB3=7,Оклады!I16,AB4)))))))</f>
        <v>11500</v>
      </c>
      <c r="T3" s="247"/>
      <c r="U3" s="247"/>
      <c r="V3" s="247"/>
      <c r="W3" s="247"/>
      <c r="X3" s="248"/>
      <c r="Y3" s="12"/>
      <c r="Z3" s="12"/>
      <c r="AA3" s="12">
        <v>1</v>
      </c>
      <c r="AB3" s="12">
        <v>3</v>
      </c>
      <c r="AC3" s="12" t="s">
        <v>0</v>
      </c>
      <c r="AD3" s="12"/>
      <c r="AE3" s="12"/>
      <c r="AF3" s="12"/>
      <c r="AG3" s="12"/>
      <c r="AH3" s="12"/>
      <c r="AI3" s="12"/>
      <c r="AJ3" s="12">
        <v>5</v>
      </c>
      <c r="AK3" s="12" t="s">
        <v>44</v>
      </c>
      <c r="AL3" s="12"/>
      <c r="AM3" s="12"/>
      <c r="AN3" s="12"/>
      <c r="AO3" s="12"/>
      <c r="AP3" s="12"/>
      <c r="AQ3" s="12">
        <v>5</v>
      </c>
      <c r="AR3" s="12" t="s">
        <v>50</v>
      </c>
      <c r="AS3" s="12"/>
      <c r="AT3" s="12"/>
      <c r="AU3" s="12"/>
      <c r="AV3" s="12"/>
      <c r="AW3" s="12"/>
      <c r="AX3" s="12">
        <v>4</v>
      </c>
      <c r="AY3" s="12" t="s">
        <v>54</v>
      </c>
      <c r="AZ3" s="12"/>
      <c r="BA3" s="12"/>
      <c r="BB3" s="12"/>
      <c r="BC3" s="12"/>
      <c r="BD3" s="12">
        <v>2</v>
      </c>
      <c r="BE3" s="12" t="b">
        <f>IF(BD3=8,R29*43%,IF(BD3=9,R29*46%,IF(BD3=10,R29*49%,IF(BD3=11,R29*50%,IF(BD3&gt;11,R29*50%)))))</f>
        <v>0</v>
      </c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2:134" ht="16.5" thickBot="1">
      <c r="B4" s="12"/>
      <c r="C4" s="253" t="s">
        <v>24</v>
      </c>
      <c r="D4" s="254"/>
      <c r="E4" s="254"/>
      <c r="F4" s="254"/>
      <c r="G4" s="254"/>
      <c r="H4" s="254"/>
      <c r="O4" s="18"/>
      <c r="P4" s="18"/>
      <c r="Q4" s="18"/>
      <c r="R4" s="18"/>
      <c r="S4" s="264">
        <f>IF(AJ3=1,Оклады!D20,IF(AJ3=2,Оклады!D21,IF(AJ3=3,Оклады!D22,IF(AJ3=4,Оклады!D23,IF(AJ3=5,Оклады!D24,IF(AJ3=6,Оклады!D25,IF(AJ3=7,Оклады!D26,AJ4)))))))</f>
        <v>7000</v>
      </c>
      <c r="T4" s="247"/>
      <c r="U4" s="247"/>
      <c r="V4" s="247"/>
      <c r="W4" s="247"/>
      <c r="X4" s="248"/>
      <c r="Y4" s="12"/>
      <c r="Z4" s="12"/>
      <c r="AA4" s="12">
        <v>2</v>
      </c>
      <c r="AB4" s="12" t="b">
        <f>IF(AB3=8,Оклады!I17,IF(AB3=9,Оклады!K16))</f>
        <v>0</v>
      </c>
      <c r="AC4" s="12" t="s">
        <v>1</v>
      </c>
      <c r="AD4" s="12"/>
      <c r="AE4" s="12"/>
      <c r="AF4" s="12"/>
      <c r="AG4" s="12"/>
      <c r="AH4" s="12"/>
      <c r="AI4" s="12"/>
      <c r="AJ4" s="12">
        <f>IF(AJ3=8,Оклады!D27,IF(AJ3=9,Оклады!I23,IF(AJ3=10,Оклады!I24,IF(AJ3=11,Оклады!I24,IF(AJ3=12,Оклады!I25,IF(AJ3=13,Оклады!I25,IF(AJ3=14,Оклады!I26,AJ5)))))))</f>
        <v>0</v>
      </c>
      <c r="AK4" s="12" t="s">
        <v>45</v>
      </c>
      <c r="AL4" s="12"/>
      <c r="AM4" s="12"/>
      <c r="AN4" s="12"/>
      <c r="AO4" s="12"/>
      <c r="AP4" s="12"/>
      <c r="AQ4" s="12"/>
      <c r="AR4" s="12" t="s">
        <v>51</v>
      </c>
      <c r="AS4" s="12"/>
      <c r="AT4" s="12"/>
      <c r="AU4" s="12"/>
      <c r="AV4" s="12"/>
      <c r="AW4" s="12"/>
      <c r="AX4" s="12"/>
      <c r="AY4" s="12" t="s">
        <v>55</v>
      </c>
      <c r="AZ4" s="12"/>
      <c r="BA4" s="12"/>
      <c r="BB4" s="12"/>
      <c r="BC4" s="12"/>
      <c r="BD4" s="12" t="b">
        <f>IF(BD3=9,AY18*71%,IF(BD3=10,AY18*74%,IF(BD3=11,AY18*77%,IF(BD3=12,AY18*80%,IF(BD3=13,AY18*83%,IF(BD3=14,AY18*85%))))))</f>
        <v>0</v>
      </c>
      <c r="BE4" s="12"/>
      <c r="BF4" s="29" t="s">
        <v>76</v>
      </c>
      <c r="BG4" s="12"/>
      <c r="BH4" s="12"/>
      <c r="BI4" s="12"/>
      <c r="BJ4" s="12"/>
      <c r="BK4" s="12">
        <v>4</v>
      </c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</row>
    <row r="5" spans="2:134" ht="16.5" thickBot="1">
      <c r="B5" s="12"/>
      <c r="C5" s="253" t="s">
        <v>74</v>
      </c>
      <c r="D5" s="254"/>
      <c r="E5" s="254"/>
      <c r="F5" s="254"/>
      <c r="G5" s="254"/>
      <c r="H5" s="254"/>
      <c r="P5" s="152"/>
      <c r="Q5" s="265">
        <f>IF(AQ3=1,0.1,IF(AQ3=2,0.1,IF(AQ3=3,0.15,IF(AQ3=4,0.2,IF(AQ3=5,0.25,IF(AQ3=6,0.3,IF(AQ3=7,0.4)))))))</f>
        <v>0.25</v>
      </c>
      <c r="R5" s="266"/>
      <c r="S5" s="246">
        <f>S3*Q5</f>
        <v>2875</v>
      </c>
      <c r="T5" s="247"/>
      <c r="U5" s="247"/>
      <c r="V5" s="247"/>
      <c r="W5" s="247"/>
      <c r="X5" s="248"/>
      <c r="Y5" s="12"/>
      <c r="Z5" s="12"/>
      <c r="AA5" s="12">
        <v>3</v>
      </c>
      <c r="AB5" s="12" t="b">
        <f>IF(AB3=15,Оклады!E7,IF(AB3=16,Оклады!E8,IF(AB3=17,Оклады!E9,IF(AB3=18,Оклады!E10,IF(AB3=19,Оклады!E11,IF(AB3=20,Оклады!E12,IF(AB3=21,Оклады!G3,AB6)))))))</f>
        <v>0</v>
      </c>
      <c r="AC5" s="12" t="s">
        <v>83</v>
      </c>
      <c r="AD5" s="12"/>
      <c r="AE5" s="12"/>
      <c r="AF5" s="12"/>
      <c r="AG5" s="12"/>
      <c r="AH5" s="12"/>
      <c r="AI5" s="12"/>
      <c r="AJ5" s="12"/>
      <c r="AK5" s="12" t="s">
        <v>46</v>
      </c>
      <c r="AL5" s="12"/>
      <c r="AM5" s="12"/>
      <c r="AN5" s="12"/>
      <c r="AO5" s="12"/>
      <c r="AP5" s="12"/>
      <c r="AQ5" s="12"/>
      <c r="AR5" s="12" t="s">
        <v>52</v>
      </c>
      <c r="AS5" s="12"/>
      <c r="AT5" s="12"/>
      <c r="AU5" s="12"/>
      <c r="AV5" s="12"/>
      <c r="AW5" s="12"/>
      <c r="AX5" s="12"/>
      <c r="AY5" s="12" t="s">
        <v>56</v>
      </c>
      <c r="AZ5" s="12"/>
      <c r="BA5" s="12"/>
      <c r="BB5" s="12"/>
      <c r="BC5" s="12"/>
      <c r="BD5" s="12" t="b">
        <f>IF(BD3=8,0.68,IF(BD3=9,0.71,IF(BD3=10,0.74,IF(BD3=11,0.77,IF(BD3=12,0.8,IF(BD3=13,0.83,IF(BD3=14,0.85)))))))</f>
        <v>0</v>
      </c>
      <c r="BE5" s="12"/>
      <c r="BF5" s="30" t="s">
        <v>77</v>
      </c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</row>
    <row r="6" spans="2:134" ht="16.5" thickBot="1">
      <c r="B6" s="12"/>
      <c r="C6" s="273" t="s">
        <v>138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153"/>
      <c r="Q6" s="271">
        <v>0.05</v>
      </c>
      <c r="R6" s="272"/>
      <c r="S6" s="246">
        <f>S3*Q6</f>
        <v>575</v>
      </c>
      <c r="T6" s="247"/>
      <c r="U6" s="247"/>
      <c r="V6" s="247"/>
      <c r="W6" s="247"/>
      <c r="X6" s="248"/>
      <c r="Y6" s="12"/>
      <c r="Z6" s="12"/>
      <c r="AA6" s="12">
        <v>4</v>
      </c>
      <c r="AB6" s="12" t="b">
        <f>IF(AB3=22,Оклады!G4,IF(AB3=23,Оклады!G5,IF(AB3=24,Оклады!G6,IF(AB3=25,Оклады!G7,IF(AB3=26,Оклады!G8,IF(AB3=27,Оклады!G9,IF(AB3=28,Оклады!G10,AB7)))))))</f>
        <v>0</v>
      </c>
      <c r="AC6" s="12" t="s">
        <v>3</v>
      </c>
      <c r="AD6" s="12"/>
      <c r="AE6" s="12"/>
      <c r="AF6" s="12"/>
      <c r="AG6" s="12"/>
      <c r="AH6" s="12"/>
      <c r="AI6" s="12"/>
      <c r="AJ6" s="12"/>
      <c r="AK6" s="12" t="s">
        <v>47</v>
      </c>
      <c r="AL6" s="12"/>
      <c r="AM6" s="12"/>
      <c r="AN6" s="12"/>
      <c r="AO6" s="12"/>
      <c r="AP6" s="12"/>
      <c r="AQ6" s="12"/>
      <c r="AR6" s="12" t="s">
        <v>53</v>
      </c>
      <c r="AS6" s="12"/>
      <c r="AT6" s="12"/>
      <c r="AU6" s="12"/>
      <c r="AV6" s="12"/>
      <c r="AW6" s="12"/>
      <c r="AX6" s="12"/>
      <c r="AY6" s="12" t="s">
        <v>57</v>
      </c>
      <c r="AZ6" s="12"/>
      <c r="BA6" s="12"/>
      <c r="BB6" s="12"/>
      <c r="BC6" s="12"/>
      <c r="BD6" s="12"/>
      <c r="BE6" s="12"/>
      <c r="BF6" s="29" t="s">
        <v>78</v>
      </c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</row>
    <row r="7" spans="2:134" ht="15.75" customHeight="1" thickBot="1">
      <c r="B7" s="12"/>
      <c r="C7" s="253" t="s">
        <v>25</v>
      </c>
      <c r="D7" s="254"/>
      <c r="E7" s="254"/>
      <c r="F7" s="254"/>
      <c r="G7" s="254"/>
      <c r="H7" s="254"/>
      <c r="P7" s="152"/>
      <c r="Q7" s="255">
        <f>IF(AX3=1,0.25,IF(AX3=2,0.2,IF(AX3=3,0.1,IF(AX3=4,0))))</f>
        <v>0</v>
      </c>
      <c r="R7" s="256"/>
      <c r="S7" s="246">
        <f>S3*Q7</f>
        <v>0</v>
      </c>
      <c r="T7" s="247"/>
      <c r="U7" s="247"/>
      <c r="V7" s="247"/>
      <c r="W7" s="247"/>
      <c r="X7" s="248"/>
      <c r="Y7" s="12"/>
      <c r="Z7" s="12"/>
      <c r="AA7" s="12">
        <v>5</v>
      </c>
      <c r="AB7" s="12" t="b">
        <f>IF(AB3=29,Оклады!G11,IF(AB3=30,Оклады!G12,IF(AB3=31,Оклады!I3,IF(AB3=32,Оклады!I4,IF(AB3=33,Оклады!I5,IF(AB3=34,Оклады!I6,IF(AB3=35,Оклады!I7,AB8)))))))</f>
        <v>0</v>
      </c>
      <c r="AC7" s="12" t="s">
        <v>4</v>
      </c>
      <c r="AD7" s="12"/>
      <c r="AE7" s="12"/>
      <c r="AF7" s="12"/>
      <c r="AG7" s="12"/>
      <c r="AH7" s="12"/>
      <c r="AI7" s="12"/>
      <c r="AJ7" s="12"/>
      <c r="AK7" s="12" t="s">
        <v>48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 t="s">
        <v>58</v>
      </c>
      <c r="AZ7" s="12"/>
      <c r="BA7" s="12"/>
      <c r="BB7" s="12"/>
      <c r="BC7" s="12"/>
      <c r="BD7" s="12"/>
      <c r="BE7" s="12"/>
      <c r="BF7" s="29" t="s">
        <v>79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</row>
    <row r="8" spans="1:218" s="77" customFormat="1" ht="14.25" customHeight="1" thickBot="1" thickTop="1">
      <c r="A8" s="73"/>
      <c r="B8" s="74"/>
      <c r="C8" s="230" t="s">
        <v>92</v>
      </c>
      <c r="D8" s="230"/>
      <c r="E8" s="230"/>
      <c r="F8" s="230"/>
      <c r="G8" s="230"/>
      <c r="H8" s="249"/>
      <c r="I8" s="250" t="s">
        <v>73</v>
      </c>
      <c r="J8" s="250"/>
      <c r="K8" s="250"/>
      <c r="L8" s="250"/>
      <c r="M8" s="250"/>
      <c r="N8" s="250"/>
      <c r="O8" s="250"/>
      <c r="P8" s="251"/>
      <c r="Q8" s="213">
        <v>0.13</v>
      </c>
      <c r="R8" s="252"/>
      <c r="S8" s="244">
        <f>(S2+S3+S4+S5+S6+S7)*0.13</f>
        <v>2853.5</v>
      </c>
      <c r="T8" s="245"/>
      <c r="U8" s="245"/>
      <c r="V8" s="245"/>
      <c r="W8" s="245"/>
      <c r="X8" s="245"/>
      <c r="Y8" s="76"/>
      <c r="Z8" s="76"/>
      <c r="AA8" s="74">
        <v>7</v>
      </c>
      <c r="AB8" s="74" t="b">
        <f>IF(AB2=43,Оклады!K4,IF(AB2=44,Оклады!K5,IF(AB2=45,Оклады!K6,IF(AB2=46,Оклады!K7,IF(AB2=47,Оклады!K8,IF(AB2=48,Оклады!K9,IF(AB2=49,Оклады!K10,AB9)))))))</f>
        <v>0</v>
      </c>
      <c r="AC8" s="74" t="s">
        <v>31</v>
      </c>
      <c r="AD8" s="76"/>
      <c r="AE8" s="76"/>
      <c r="AF8" s="76"/>
      <c r="AG8" s="76"/>
      <c r="AH8" s="76"/>
      <c r="AI8" s="76"/>
      <c r="AJ8" s="76"/>
      <c r="AK8" s="76" t="s">
        <v>93</v>
      </c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4"/>
      <c r="AY8" s="74" t="s">
        <v>60</v>
      </c>
      <c r="AZ8" s="76"/>
      <c r="BA8" s="76"/>
      <c r="BB8" s="76"/>
      <c r="BC8" s="76"/>
      <c r="BD8" s="76"/>
      <c r="BE8" s="76"/>
      <c r="BF8" s="83" t="s">
        <v>81</v>
      </c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HH8" s="126"/>
      <c r="HI8" s="126"/>
      <c r="HJ8" s="76"/>
    </row>
    <row r="9" spans="2:134" ht="12.75" customHeight="1" hidden="1" thickTop="1">
      <c r="B9" s="12"/>
      <c r="Y9" s="12"/>
      <c r="Z9" s="12"/>
      <c r="AA9" s="12">
        <v>7</v>
      </c>
      <c r="AB9" s="12" t="b">
        <f>IF(AB3=43,Оклады!K5,IF(AB3=44,Оклады!K6,IF(AB3=45,Оклады!K7,IF(AB3=46,Оклады!K8,IF(AB3=47,Оклады!K9,IF(AB3=48,Оклады!K10,IF(AB3=49,Оклады!K11,AB10)))))))</f>
        <v>0</v>
      </c>
      <c r="AC9" s="12" t="s">
        <v>6</v>
      </c>
      <c r="AD9" s="12"/>
      <c r="AE9" s="12"/>
      <c r="AF9" s="12"/>
      <c r="AG9" s="12"/>
      <c r="AH9" s="12"/>
      <c r="AI9" s="12"/>
      <c r="AJ9" s="12"/>
      <c r="AK9" s="12" t="s">
        <v>49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 t="s">
        <v>60</v>
      </c>
      <c r="AZ9" s="12"/>
      <c r="BA9" s="12"/>
      <c r="BB9" s="12"/>
      <c r="BC9" s="12"/>
      <c r="BD9" s="12"/>
      <c r="BE9" s="12"/>
      <c r="BF9" s="29" t="s">
        <v>81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</row>
    <row r="10" spans="2:134" ht="12.75" hidden="1">
      <c r="B10" s="12"/>
      <c r="Y10" s="12"/>
      <c r="Z10" s="12"/>
      <c r="AA10" s="12">
        <v>8</v>
      </c>
      <c r="AB10" s="12" t="b">
        <f>IF(AB3=50,Оклады!K12,IF(AB3=51,Оклады!K13))</f>
        <v>0</v>
      </c>
      <c r="AC10" s="12" t="s">
        <v>7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 t="s">
        <v>61</v>
      </c>
      <c r="AZ10" s="12"/>
      <c r="BA10" s="12"/>
      <c r="BB10" s="12"/>
      <c r="BC10" s="12"/>
      <c r="BD10" s="12"/>
      <c r="BE10" s="12"/>
      <c r="BF10" s="29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</row>
    <row r="11" spans="2:134" ht="12.75" hidden="1">
      <c r="B11" s="12"/>
      <c r="Y11" s="12"/>
      <c r="Z11" s="12"/>
      <c r="AA11" s="12">
        <v>9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 t="s">
        <v>62</v>
      </c>
      <c r="AZ11" s="12"/>
      <c r="BA11" s="12"/>
      <c r="BB11" s="12"/>
      <c r="BC11" s="12"/>
      <c r="BD11" s="12"/>
      <c r="BE11" s="12"/>
      <c r="BF11" s="29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</row>
    <row r="12" spans="2:134" ht="13.5" thickTop="1">
      <c r="B12" s="1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 t="s">
        <v>63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</row>
    <row r="13" spans="2:134" ht="12.75">
      <c r="B13" s="1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 t="s">
        <v>64</v>
      </c>
      <c r="AZ13" s="12"/>
      <c r="BA13" s="12"/>
      <c r="BB13" s="12"/>
      <c r="BC13" s="12"/>
      <c r="BD13" s="12"/>
      <c r="BE13" s="12"/>
      <c r="BF13" s="29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</row>
    <row r="14" spans="2:134" ht="12.75">
      <c r="B14" s="1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 t="s">
        <v>65</v>
      </c>
      <c r="AZ14" s="12"/>
      <c r="BA14" s="12"/>
      <c r="BB14" s="12"/>
      <c r="BC14" s="12"/>
      <c r="BD14" s="12"/>
      <c r="BE14" s="12"/>
      <c r="BF14" s="29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</row>
    <row r="15" spans="2:134" ht="12.75" customHeight="1">
      <c r="B15" s="12"/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 t="s">
        <v>66</v>
      </c>
      <c r="AZ15" s="12"/>
      <c r="BA15" s="12"/>
      <c r="BB15" s="12"/>
      <c r="BC15" s="12"/>
      <c r="BD15" s="12"/>
      <c r="BE15" s="12"/>
      <c r="BF15" s="29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</row>
    <row r="16" spans="2:134" ht="12.75" customHeight="1">
      <c r="B16" s="12"/>
      <c r="C16" s="24"/>
      <c r="D16" s="24"/>
      <c r="E16" s="2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 t="s">
        <v>71</v>
      </c>
      <c r="AZ16" s="12"/>
      <c r="BA16" s="12"/>
      <c r="BB16" s="12"/>
      <c r="BC16" s="12"/>
      <c r="BD16" s="12"/>
      <c r="BE16" s="12"/>
      <c r="BF16" s="29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</row>
    <row r="17" spans="2:134" ht="18" customHeight="1">
      <c r="B17" s="12"/>
      <c r="C17" s="24"/>
      <c r="D17" s="24"/>
      <c r="E17" s="26"/>
      <c r="F17" s="26"/>
      <c r="G17" s="26"/>
      <c r="H17" s="24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26"/>
      <c r="V17" s="26"/>
      <c r="W17" s="26"/>
      <c r="X17" s="2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</row>
    <row r="18" spans="2:134" ht="12.75" customHeight="1">
      <c r="B18" s="12"/>
      <c r="C18" s="24"/>
      <c r="D18" s="24"/>
      <c r="E18" s="24"/>
      <c r="F18" s="24"/>
      <c r="G18" s="24"/>
      <c r="H18" s="263">
        <f>(S3+S4+S5+S6+S7)*0.87</f>
        <v>19096.5</v>
      </c>
      <c r="I18" s="263"/>
      <c r="J18" s="263"/>
      <c r="K18" s="263"/>
      <c r="L18" s="263"/>
      <c r="M18" s="263"/>
      <c r="N18" s="263"/>
      <c r="O18" s="263"/>
      <c r="P18" s="263"/>
      <c r="Q18" s="25"/>
      <c r="R18" s="25"/>
      <c r="S18" s="25"/>
      <c r="T18" s="25"/>
      <c r="U18" s="25"/>
      <c r="V18" s="25"/>
      <c r="W18" s="25"/>
      <c r="X18" s="25"/>
      <c r="Y18" s="12"/>
      <c r="Z18" s="12"/>
      <c r="AA18" s="12"/>
      <c r="AB18" s="12" t="s">
        <v>84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3">
        <f>S3+S4+S5+Оклады!L21</f>
        <v>21375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</row>
    <row r="19" spans="2:134" ht="12.75" customHeight="1">
      <c r="B19" s="12"/>
      <c r="C19" s="24"/>
      <c r="D19" s="24"/>
      <c r="E19" s="24"/>
      <c r="F19" s="24"/>
      <c r="G19" s="24"/>
      <c r="H19" s="263"/>
      <c r="I19" s="263"/>
      <c r="J19" s="263"/>
      <c r="K19" s="263"/>
      <c r="L19" s="263"/>
      <c r="M19" s="263"/>
      <c r="N19" s="263"/>
      <c r="O19" s="263"/>
      <c r="P19" s="263"/>
      <c r="Q19" s="24"/>
      <c r="R19" s="24"/>
      <c r="S19" s="24"/>
      <c r="T19" s="24"/>
      <c r="U19" s="24"/>
      <c r="V19" s="24"/>
      <c r="W19" s="24"/>
      <c r="X19" s="24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</row>
    <row r="20" spans="2:134" ht="16.5" customHeight="1">
      <c r="B20" s="12"/>
      <c r="C20" s="24"/>
      <c r="D20" s="24"/>
      <c r="E20" s="24"/>
      <c r="F20" s="24"/>
      <c r="G20" s="24"/>
      <c r="H20" s="263"/>
      <c r="I20" s="263"/>
      <c r="J20" s="263"/>
      <c r="K20" s="263"/>
      <c r="L20" s="263"/>
      <c r="M20" s="263"/>
      <c r="N20" s="263"/>
      <c r="O20" s="263"/>
      <c r="P20" s="263"/>
      <c r="Q20" s="24"/>
      <c r="R20" s="24"/>
      <c r="S20" s="24"/>
      <c r="T20" s="24"/>
      <c r="U20" s="24"/>
      <c r="V20" s="24"/>
      <c r="W20" s="24"/>
      <c r="X20" s="2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</row>
    <row r="21" spans="2:134" ht="12.75">
      <c r="B21" s="1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</row>
    <row r="22" spans="2:134" ht="13.5" thickBot="1"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</row>
    <row r="23" spans="2:134" ht="17.25" thickBot="1" thickTop="1">
      <c r="B23" s="12"/>
      <c r="C23" s="276" t="s">
        <v>68</v>
      </c>
      <c r="D23" s="277"/>
      <c r="E23" s="277"/>
      <c r="F23" s="277"/>
      <c r="G23" s="277"/>
      <c r="H23" s="277"/>
      <c r="I23" s="277"/>
      <c r="J23" s="277"/>
      <c r="K23" s="277"/>
      <c r="L23" s="278"/>
      <c r="M23" s="260">
        <f>S3*3</f>
        <v>34500</v>
      </c>
      <c r="N23" s="261"/>
      <c r="O23" s="261"/>
      <c r="P23" s="261"/>
      <c r="Q23" s="261"/>
      <c r="R23" s="262"/>
      <c r="S23" s="24"/>
      <c r="T23" s="24"/>
      <c r="U23" s="24"/>
      <c r="V23" s="24"/>
      <c r="W23" s="24"/>
      <c r="X23" s="24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</row>
    <row r="24" spans="2:134" ht="16.5" thickBot="1">
      <c r="B24" s="12"/>
      <c r="C24" s="257" t="s">
        <v>70</v>
      </c>
      <c r="D24" s="258"/>
      <c r="E24" s="258"/>
      <c r="F24" s="258"/>
      <c r="G24" s="258"/>
      <c r="H24" s="258"/>
      <c r="I24" s="258"/>
      <c r="J24" s="258"/>
      <c r="K24" s="258"/>
      <c r="L24" s="259"/>
      <c r="M24" s="260">
        <f>S3*75%</f>
        <v>8625</v>
      </c>
      <c r="N24" s="261"/>
      <c r="O24" s="261"/>
      <c r="P24" s="261"/>
      <c r="Q24" s="261"/>
      <c r="R24" s="262"/>
      <c r="S24" s="24"/>
      <c r="T24" s="24"/>
      <c r="U24" s="24"/>
      <c r="V24" s="24"/>
      <c r="W24" s="24"/>
      <c r="X24" s="24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</row>
    <row r="25" spans="2:134" ht="16.5" thickBot="1">
      <c r="B25" s="12"/>
      <c r="C25" s="257" t="s">
        <v>69</v>
      </c>
      <c r="D25" s="258"/>
      <c r="E25" s="258"/>
      <c r="F25" s="258"/>
      <c r="G25" s="258"/>
      <c r="H25" s="258"/>
      <c r="I25" s="258"/>
      <c r="J25" s="258"/>
      <c r="K25" s="258"/>
      <c r="L25" s="259"/>
      <c r="M25" s="260">
        <f>S3*2</f>
        <v>23000</v>
      </c>
      <c r="N25" s="261"/>
      <c r="O25" s="261"/>
      <c r="P25" s="261"/>
      <c r="Q25" s="261"/>
      <c r="R25" s="262"/>
      <c r="S25" s="24"/>
      <c r="T25" s="24"/>
      <c r="U25" s="24" t="s">
        <v>67</v>
      </c>
      <c r="V25" s="24"/>
      <c r="W25" s="24"/>
      <c r="X25" s="2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</row>
    <row r="26" spans="2:134" ht="16.5" thickBot="1">
      <c r="B26" s="12"/>
      <c r="C26" s="279" t="s">
        <v>82</v>
      </c>
      <c r="D26" s="280"/>
      <c r="E26" s="280"/>
      <c r="F26" s="280"/>
      <c r="G26" s="280"/>
      <c r="H26" s="28"/>
      <c r="I26" s="21"/>
      <c r="J26" s="21"/>
      <c r="K26" s="21"/>
      <c r="L26" s="22"/>
      <c r="M26" s="260">
        <f>IF(BK4=1,Оклады!L27*6,IF(BK4=2,Оклады!L27*9,IF(BK4=3,Оклады!L27*12,IF(BK4=4,Оклады!L27*15,IF(BK4=5,Оклады!L27*18,IF(BK4=6,Оклады!L27*21))))))</f>
        <v>1500</v>
      </c>
      <c r="N26" s="261"/>
      <c r="O26" s="261"/>
      <c r="P26" s="261"/>
      <c r="Q26" s="261"/>
      <c r="R26" s="262"/>
      <c r="S26" s="24"/>
      <c r="T26" s="24"/>
      <c r="U26" s="24"/>
      <c r="V26" s="24"/>
      <c r="W26" s="24"/>
      <c r="X26" s="24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</row>
    <row r="27" spans="3:134" s="12" customFormat="1" ht="16.5" thickTop="1">
      <c r="C27" s="275"/>
      <c r="D27" s="275"/>
      <c r="E27" s="275"/>
      <c r="F27" s="275"/>
      <c r="G27" s="275"/>
      <c r="H27" s="27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</row>
    <row r="28" spans="3:134" s="12" customFormat="1" ht="15.75" customHeight="1">
      <c r="C28" s="275"/>
      <c r="D28" s="275"/>
      <c r="E28" s="275"/>
      <c r="F28" s="275"/>
      <c r="G28" s="275"/>
      <c r="H28" s="275"/>
      <c r="I28" s="24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</row>
    <row r="29" spans="2:79" ht="18.75" customHeight="1">
      <c r="B29" s="12"/>
      <c r="C29" s="226" t="s">
        <v>72</v>
      </c>
      <c r="D29" s="226"/>
      <c r="E29" s="226"/>
      <c r="F29" s="226"/>
      <c r="G29" s="226"/>
      <c r="H29" s="226"/>
      <c r="I29" s="225" t="s">
        <v>73</v>
      </c>
      <c r="J29" s="225"/>
      <c r="K29" s="225"/>
      <c r="L29" s="225"/>
      <c r="M29" s="225"/>
      <c r="N29" s="225"/>
      <c r="O29" s="225"/>
      <c r="P29" s="269">
        <f>(IF(BD3=1,0,IF(BD3=2,0.5,IF(BD3=3,0.53,IF(BD3=4,0.56,IF(BD3=5,0.59,IF(BD3=6,0.62,IF(BD3=7,0.65,BD5))))))))*0.54</f>
        <v>0.27</v>
      </c>
      <c r="Q29" s="269"/>
      <c r="R29" s="270">
        <f>IF(P29=0,"Молод еще",IF(P29&gt;0,AY18*P29))</f>
        <v>5771.25</v>
      </c>
      <c r="S29" s="270"/>
      <c r="T29" s="270"/>
      <c r="U29" s="270"/>
      <c r="V29" s="270"/>
      <c r="W29" s="270"/>
      <c r="X29" s="270"/>
      <c r="Y29" s="270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</row>
    <row r="30" spans="2:79" ht="12.75" customHeight="1">
      <c r="B30" s="12"/>
      <c r="C30" s="12"/>
      <c r="D30" s="12"/>
      <c r="E30" s="12"/>
      <c r="F30" s="12"/>
      <c r="G30" s="12"/>
      <c r="H30" s="1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</row>
    <row r="31" spans="2:79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</row>
    <row r="32" spans="2:79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</row>
    <row r="33" spans="2:79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</row>
    <row r="34" spans="2:79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</row>
    <row r="35" spans="2:79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</row>
    <row r="36" spans="2:79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</row>
    <row r="37" spans="2:79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</row>
    <row r="38" spans="2:79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</row>
    <row r="39" spans="2:79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</row>
    <row r="40" spans="2:79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</row>
    <row r="41" spans="2:79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</row>
    <row r="42" spans="2:79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</row>
    <row r="43" spans="2:79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</row>
    <row r="44" spans="2:79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</row>
  </sheetData>
  <sheetProtection/>
  <mergeCells count="33">
    <mergeCell ref="C26:G26"/>
    <mergeCell ref="M26:R26"/>
    <mergeCell ref="C23:L23"/>
    <mergeCell ref="M23:R23"/>
    <mergeCell ref="C24:L24"/>
    <mergeCell ref="M24:R24"/>
    <mergeCell ref="S5:X5"/>
    <mergeCell ref="C3:H3"/>
    <mergeCell ref="C29:H29"/>
    <mergeCell ref="I29:O29"/>
    <mergeCell ref="P29:Q29"/>
    <mergeCell ref="R29:Y29"/>
    <mergeCell ref="Q6:R6"/>
    <mergeCell ref="C6:O6"/>
    <mergeCell ref="C27:H27"/>
    <mergeCell ref="C28:H28"/>
    <mergeCell ref="I3:N3"/>
    <mergeCell ref="S6:X6"/>
    <mergeCell ref="C25:L25"/>
    <mergeCell ref="M25:R25"/>
    <mergeCell ref="H18:P20"/>
    <mergeCell ref="S3:X3"/>
    <mergeCell ref="C4:H4"/>
    <mergeCell ref="S4:X4"/>
    <mergeCell ref="C5:H5"/>
    <mergeCell ref="Q5:R5"/>
    <mergeCell ref="S8:X8"/>
    <mergeCell ref="S7:X7"/>
    <mergeCell ref="C8:H8"/>
    <mergeCell ref="I8:P8"/>
    <mergeCell ref="Q8:R8"/>
    <mergeCell ref="C7:H7"/>
    <mergeCell ref="Q7:R7"/>
  </mergeCells>
  <printOptions/>
  <pageMargins left="0.75" right="0.75" top="1" bottom="1" header="0.5" footer="0.5"/>
  <pageSetup horizontalDpi="300" verticalDpi="300" orientation="landscape" paperSize="9" scale="5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SheetLayoutView="100" workbookViewId="0" topLeftCell="A1">
      <selection activeCell="K30" sqref="K30"/>
    </sheetView>
  </sheetViews>
  <sheetFormatPr defaultColWidth="9.00390625" defaultRowHeight="12.75"/>
  <cols>
    <col min="1" max="1" width="12.125" style="36" customWidth="1"/>
    <col min="2" max="2" width="21.875" style="36" customWidth="1"/>
    <col min="3" max="4" width="7.75390625" style="36" customWidth="1"/>
    <col min="5" max="5" width="10.625" style="36" customWidth="1"/>
    <col min="6" max="6" width="9.125" style="36" customWidth="1"/>
    <col min="7" max="8" width="7.75390625" style="36" customWidth="1"/>
    <col min="9" max="9" width="10.625" style="36" customWidth="1"/>
    <col min="10" max="10" width="4.125" style="36" customWidth="1"/>
    <col min="11" max="16384" width="9.125" style="36" customWidth="1"/>
  </cols>
  <sheetData>
    <row r="1" s="32" customFormat="1" ht="12.75"/>
    <row r="2" spans="5:9" s="32" customFormat="1" ht="8.25" customHeight="1">
      <c r="E2" s="68"/>
      <c r="F2" s="68"/>
      <c r="G2" s="68"/>
      <c r="H2" s="68"/>
      <c r="I2" s="68"/>
    </row>
    <row r="3" spans="1:14" ht="42" customHeight="1" thickBot="1">
      <c r="A3" s="32"/>
      <c r="B3" s="33"/>
      <c r="C3" s="34"/>
      <c r="D3" s="34"/>
      <c r="E3" s="34"/>
      <c r="F3" s="35"/>
      <c r="G3" s="32"/>
      <c r="H3" s="32"/>
      <c r="I3" s="32"/>
      <c r="J3" s="281"/>
      <c r="K3" s="281"/>
      <c r="L3" s="281"/>
      <c r="M3" s="67"/>
      <c r="N3" s="67"/>
    </row>
    <row r="4" spans="1:14" ht="16.5" thickBot="1">
      <c r="A4" s="32"/>
      <c r="B4" s="37"/>
      <c r="C4" s="38" t="s">
        <v>85</v>
      </c>
      <c r="D4" s="38" t="s">
        <v>86</v>
      </c>
      <c r="E4" s="39" t="s">
        <v>87</v>
      </c>
      <c r="F4" s="32"/>
      <c r="G4" s="40" t="s">
        <v>85</v>
      </c>
      <c r="H4" s="40" t="s">
        <v>86</v>
      </c>
      <c r="I4" s="41" t="s">
        <v>87</v>
      </c>
      <c r="J4" s="32"/>
      <c r="K4" s="32"/>
      <c r="L4" s="42">
        <v>1</v>
      </c>
      <c r="M4" s="67"/>
      <c r="N4" s="67"/>
    </row>
    <row r="5" spans="1:14" ht="22.5" customHeight="1">
      <c r="A5" s="32"/>
      <c r="B5" s="43" t="s">
        <v>88</v>
      </c>
      <c r="C5" s="44">
        <v>5</v>
      </c>
      <c r="D5" s="44">
        <v>8</v>
      </c>
      <c r="E5" s="45">
        <v>1982</v>
      </c>
      <c r="F5" s="46">
        <f>C5+365.25/12*(D5-1)+(E5-1964)*365.25</f>
        <v>6792.5625</v>
      </c>
      <c r="G5" s="47">
        <v>1</v>
      </c>
      <c r="H5" s="47">
        <v>8</v>
      </c>
      <c r="I5" s="48">
        <v>1990</v>
      </c>
      <c r="J5" s="46">
        <f>G5+365.25/12*(H5-1)+(I5-1964)*365.25</f>
        <v>9710.5625</v>
      </c>
      <c r="K5" s="32"/>
      <c r="L5" s="32"/>
      <c r="M5" s="67"/>
      <c r="N5" s="67"/>
    </row>
    <row r="6" spans="1:14" ht="18.75" customHeight="1">
      <c r="A6" s="32"/>
      <c r="B6" s="49" t="s">
        <v>89</v>
      </c>
      <c r="C6" s="50">
        <v>15</v>
      </c>
      <c r="D6" s="50">
        <v>2</v>
      </c>
      <c r="E6" s="51">
        <v>2009</v>
      </c>
      <c r="F6" s="46">
        <f>C6+365.25/12*(D6-1)+(E6-1964)*365.25</f>
        <v>16481.6875</v>
      </c>
      <c r="G6" s="52">
        <v>13</v>
      </c>
      <c r="H6" s="52">
        <v>1</v>
      </c>
      <c r="I6" s="53">
        <v>2004</v>
      </c>
      <c r="J6" s="46">
        <f>G6+365.25/12*(H6-1)+(I6-1964)*365.25</f>
        <v>14623</v>
      </c>
      <c r="K6" s="32"/>
      <c r="L6" s="32"/>
      <c r="M6" s="67"/>
      <c r="N6" s="67"/>
    </row>
    <row r="7" spans="1:14" ht="17.25" customHeight="1" thickBot="1">
      <c r="A7" s="32"/>
      <c r="B7" s="54" t="s">
        <v>90</v>
      </c>
      <c r="C7" s="69">
        <f>F7-(E7*365.25)-INT(D7*(365.25/12))</f>
        <v>1.09375</v>
      </c>
      <c r="D7" s="69">
        <f>INT((F7-E7*365.25)/(365.25/12))</f>
        <v>3</v>
      </c>
      <c r="E7" s="70">
        <f>INT(F7/365.25)</f>
        <v>33</v>
      </c>
      <c r="F7" s="46">
        <f>F6-F5+J7</f>
        <v>12145.34375</v>
      </c>
      <c r="G7" s="71">
        <f>J7-(I7*365.25)-INT(H7*(365.25/12))</f>
        <v>21.71875</v>
      </c>
      <c r="H7" s="71">
        <f>INT((J7-I7*365.25)/(365.25/12))</f>
        <v>8</v>
      </c>
      <c r="I7" s="70">
        <f>INT(J7/365.25)</f>
        <v>6</v>
      </c>
      <c r="J7" s="46">
        <f>IF(L4=1,(J6-J5)/2,IF(L4=2,J6-J5,IF(L4=3,(J6-J5)*2,0)))</f>
        <v>2456.21875</v>
      </c>
      <c r="K7" s="32"/>
      <c r="L7" s="32"/>
      <c r="M7" s="67"/>
      <c r="N7" s="67"/>
    </row>
    <row r="8" spans="1:14" ht="5.25" customHeight="1">
      <c r="A8" s="32"/>
      <c r="B8" s="32"/>
      <c r="C8" s="55"/>
      <c r="D8" s="55"/>
      <c r="E8" s="55"/>
      <c r="F8" s="46"/>
      <c r="G8" s="55"/>
      <c r="H8" s="32"/>
      <c r="I8" s="32"/>
      <c r="J8" s="32"/>
      <c r="K8" s="32"/>
      <c r="L8" s="32"/>
      <c r="M8" s="67"/>
      <c r="N8" s="67"/>
    </row>
    <row r="9" spans="1:14" ht="29.25" customHeight="1">
      <c r="A9" s="32"/>
      <c r="B9" s="33"/>
      <c r="C9" s="56"/>
      <c r="D9" s="56"/>
      <c r="E9" s="56"/>
      <c r="F9" s="42"/>
      <c r="G9" s="32"/>
      <c r="H9" s="32"/>
      <c r="I9" s="32"/>
      <c r="J9" s="32"/>
      <c r="K9" s="32"/>
      <c r="L9" s="32"/>
      <c r="M9" s="67"/>
      <c r="N9" s="67"/>
    </row>
    <row r="10" spans="1:14" ht="18" customHeight="1">
      <c r="A10" s="32"/>
      <c r="B10" s="57" t="s">
        <v>88</v>
      </c>
      <c r="C10" s="58">
        <v>5</v>
      </c>
      <c r="D10" s="58">
        <v>8</v>
      </c>
      <c r="E10" s="59">
        <v>1982</v>
      </c>
      <c r="F10" s="46">
        <f>C10+365.25/12*(D10-1)+(E10-1964)*365.25</f>
        <v>6792.5625</v>
      </c>
      <c r="G10" s="60"/>
      <c r="H10" s="60"/>
      <c r="I10" s="60"/>
      <c r="J10" s="32"/>
      <c r="K10" s="32"/>
      <c r="L10" s="32"/>
      <c r="M10" s="67"/>
      <c r="N10" s="67"/>
    </row>
    <row r="11" spans="1:14" ht="18.75" customHeight="1">
      <c r="A11" s="32"/>
      <c r="B11" s="61" t="s">
        <v>89</v>
      </c>
      <c r="C11" s="62">
        <v>15</v>
      </c>
      <c r="D11" s="62">
        <v>2</v>
      </c>
      <c r="E11" s="63">
        <f>E6</f>
        <v>2009</v>
      </c>
      <c r="F11" s="46">
        <f>C11+365.25/12*(D11-1)+(E11-1964)*365.25</f>
        <v>16481.6875</v>
      </c>
      <c r="G11" s="64"/>
      <c r="H11" s="64"/>
      <c r="I11" s="64"/>
      <c r="J11" s="32"/>
      <c r="K11" s="32"/>
      <c r="L11" s="32"/>
      <c r="M11" s="67"/>
      <c r="N11" s="67"/>
    </row>
    <row r="12" spans="1:14" ht="17.25" customHeight="1" thickBot="1">
      <c r="A12" s="32"/>
      <c r="B12" s="65" t="s">
        <v>90</v>
      </c>
      <c r="C12" s="72">
        <f>F12-(E12*365.25)-INT(D12*(365.25/12))</f>
        <v>10.625</v>
      </c>
      <c r="D12" s="72">
        <f>INT((F12-E12*365.25)/(365.25/12))</f>
        <v>6</v>
      </c>
      <c r="E12" s="70">
        <f>INT(F12/365.25)</f>
        <v>26</v>
      </c>
      <c r="F12" s="46">
        <f>F11-F10</f>
        <v>9689.125</v>
      </c>
      <c r="G12" s="66"/>
      <c r="H12" s="66"/>
      <c r="I12" s="66"/>
      <c r="J12" s="32"/>
      <c r="K12" s="32"/>
      <c r="L12" s="32"/>
      <c r="M12" s="67"/>
      <c r="N12" s="67"/>
    </row>
    <row r="13" spans="1:14" ht="20.25">
      <c r="A13" s="32"/>
      <c r="B13" s="32"/>
      <c r="C13" s="32"/>
      <c r="D13" s="32"/>
      <c r="E13" s="32"/>
      <c r="F13" s="32"/>
      <c r="G13" s="66"/>
      <c r="H13" s="66"/>
      <c r="I13" s="66"/>
      <c r="J13" s="32"/>
      <c r="K13" s="32"/>
      <c r="L13" s="32"/>
      <c r="M13" s="67"/>
      <c r="N13" s="67"/>
    </row>
    <row r="14" spans="1:14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67"/>
      <c r="N14" s="67"/>
    </row>
    <row r="15" spans="1:14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67"/>
      <c r="N15" s="67"/>
    </row>
    <row r="16" spans="1:14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67"/>
      <c r="N16" s="67"/>
    </row>
    <row r="17" spans="1:14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67"/>
      <c r="N17" s="67"/>
    </row>
    <row r="18" spans="1:14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7"/>
      <c r="N18" s="67"/>
    </row>
    <row r="19" spans="1:14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67"/>
      <c r="N19" s="67"/>
    </row>
    <row r="20" spans="1:1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67"/>
      <c r="N20" s="67"/>
    </row>
    <row r="21" spans="1:1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67"/>
      <c r="N21" s="67"/>
    </row>
    <row r="22" spans="1:14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67"/>
      <c r="N22" s="67"/>
    </row>
    <row r="23" spans="1:14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67"/>
      <c r="N23" s="67"/>
    </row>
    <row r="24" spans="1:1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67"/>
      <c r="N24" s="67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67"/>
      <c r="N25" s="67"/>
    </row>
    <row r="26" spans="1:1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67"/>
      <c r="N26" s="67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67"/>
      <c r="N27" s="67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67"/>
      <c r="N28" s="67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67"/>
      <c r="N29" s="67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67"/>
      <c r="N30" s="67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67"/>
      <c r="N31" s="67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67"/>
      <c r="N32" s="67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67"/>
      <c r="N33" s="67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67"/>
      <c r="N34" s="67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67"/>
      <c r="N35" s="67"/>
    </row>
    <row r="36" spans="1:1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sheetProtection/>
  <mergeCells count="1">
    <mergeCell ref="J3:L3"/>
  </mergeCells>
  <printOptions gridLines="1"/>
  <pageMargins left="0.75" right="0.75" top="1" bottom="1" header="0.5" footer="0.5"/>
  <pageSetup horizontalDpi="360" verticalDpi="360" orientation="landscape" paperSize="9" scale="45" r:id="rId3"/>
  <headerFooter alignWithMargins="0">
    <oddHeader>&amp;C&amp;A</oddHeader>
    <oddFooter>&amp;CСтр.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2003-10-07T10:58:31Z</cp:lastPrinted>
  <dcterms:created xsi:type="dcterms:W3CDTF">2001-08-25T11:07:17Z</dcterms:created>
  <dcterms:modified xsi:type="dcterms:W3CDTF">2011-08-02T13:50:11Z</dcterms:modified>
  <cp:category/>
  <cp:version/>
  <cp:contentType/>
  <cp:contentStatus/>
</cp:coreProperties>
</file>